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egionalGeology\Gower\Regional Geology of Eastern Labrador\Data\Excel\GIS Layers\"/>
    </mc:Choice>
  </mc:AlternateContent>
  <bookViews>
    <workbookView xWindow="120" yWindow="90" windowWidth="23895" windowHeight="14535"/>
  </bookViews>
  <sheets>
    <sheet name="GeochronUPb" sheetId="1" r:id="rId1"/>
  </sheets>
  <definedNames>
    <definedName name="GeochronUPb">GeochronUPb!$A$1:$S$460</definedName>
  </definedNames>
  <calcPr calcId="162913"/>
</workbook>
</file>

<file path=xl/calcChain.xml><?xml version="1.0" encoding="utf-8"?>
<calcChain xmlns="http://schemas.openxmlformats.org/spreadsheetml/2006/main">
  <c r="R460" i="1" l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2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</calcChain>
</file>

<file path=xl/sharedStrings.xml><?xml version="1.0" encoding="utf-8"?>
<sst xmlns="http://schemas.openxmlformats.org/spreadsheetml/2006/main" count="5942" uniqueCount="1521">
  <si>
    <t>Station</t>
  </si>
  <si>
    <t>SampleNo</t>
  </si>
  <si>
    <t>Region</t>
  </si>
  <si>
    <t>UTMEast</t>
  </si>
  <si>
    <t>UTMNorth</t>
  </si>
  <si>
    <t>UTMZone</t>
  </si>
  <si>
    <t>Datum</t>
  </si>
  <si>
    <t>KeyOutcrop</t>
  </si>
  <si>
    <t>Unit</t>
  </si>
  <si>
    <t>IntceptAge</t>
  </si>
  <si>
    <t>AgeForCalc</t>
  </si>
  <si>
    <t>Terrane</t>
  </si>
  <si>
    <t>Mineral</t>
  </si>
  <si>
    <t>Intcept</t>
  </si>
  <si>
    <t>MinlFract</t>
  </si>
  <si>
    <t>Interp</t>
  </si>
  <si>
    <t>Ref</t>
  </si>
  <si>
    <t>ImgPathHyp</t>
  </si>
  <si>
    <t>Comments</t>
  </si>
  <si>
    <t>VN84-222</t>
  </si>
  <si>
    <t>VN84-222B</t>
  </si>
  <si>
    <t>Eastern Labrador</t>
  </si>
  <si>
    <t>NAD27</t>
  </si>
  <si>
    <t>Yes</t>
  </si>
  <si>
    <t>White Bear Arm Complex leucogabbro</t>
  </si>
  <si>
    <t>1650 +142/-14</t>
  </si>
  <si>
    <t>Hawke River</t>
  </si>
  <si>
    <t>Zircon, Baddeleyite</t>
  </si>
  <si>
    <t>Upper</t>
  </si>
  <si>
    <t>51, 52, 53, 54, 55, 56, 57</t>
  </si>
  <si>
    <t>Emplacement</t>
  </si>
  <si>
    <t>Kamo et al. (1996)</t>
  </si>
  <si>
    <t>Assumes 1500-1470 Ma L.I.</t>
  </si>
  <si>
    <t>CG84-475</t>
  </si>
  <si>
    <t>Saddle Island metasedimentary gneiss</t>
  </si>
  <si>
    <t>1654 +29/-28</t>
  </si>
  <si>
    <t>Zircon</t>
  </si>
  <si>
    <t>Upper, long projection</t>
  </si>
  <si>
    <t>7, 8, 9</t>
  </si>
  <si>
    <t>Metamorphism</t>
  </si>
  <si>
    <t>Schärer and Gower (1988)</t>
  </si>
  <si>
    <t>No W.R. chem or thin section for this sample. CG81-148 is from the same locality and is the legitimate surrogate. It is used by Scharer (1991) but erroneously ascribed as from locality CG84-495.</t>
  </si>
  <si>
    <t>CG85-654</t>
  </si>
  <si>
    <t>CG85-654B</t>
  </si>
  <si>
    <t>Shoal Bay microgranite</t>
  </si>
  <si>
    <t>1662 ± 3</t>
  </si>
  <si>
    <t>17, 18, 19</t>
  </si>
  <si>
    <t>Regression through two least discordant points. If fraction 19 included U.I. is 1658 ± 3Ma.</t>
  </si>
  <si>
    <t>CG85-532</t>
  </si>
  <si>
    <t>CG85-532A</t>
  </si>
  <si>
    <t>Shoal Bay granite</t>
  </si>
  <si>
    <t>1663 ± 3</t>
  </si>
  <si>
    <t>15, 16, 17</t>
  </si>
  <si>
    <t>Pb/Pb age of most concordant point is 1662 Ma</t>
  </si>
  <si>
    <t>CG85-492</t>
  </si>
  <si>
    <t>CG85-492A</t>
  </si>
  <si>
    <t>Partridge Bay quartz diorite</t>
  </si>
  <si>
    <t>1668 +6/-4</t>
  </si>
  <si>
    <t>Concordant</t>
  </si>
  <si>
    <t>11, 12, 13</t>
  </si>
  <si>
    <t>Two point concordant</t>
  </si>
  <si>
    <t>CG85-654A</t>
  </si>
  <si>
    <t>Shoal Bay tonalitic-granodioritic gneiss</t>
  </si>
  <si>
    <t>1671 +4/-3</t>
  </si>
  <si>
    <t>19, 20, 21, 22</t>
  </si>
  <si>
    <t>RIG95-025</t>
  </si>
  <si>
    <t>Sample 01 (95RIG 025)</t>
  </si>
  <si>
    <t>Rigolet migmatitic diorite</t>
  </si>
  <si>
    <t>1489 +2/-8</t>
  </si>
  <si>
    <t>Lake Melville</t>
  </si>
  <si>
    <t>Z1, Z2, Z3, Z4, Z5</t>
  </si>
  <si>
    <t>Corrigan et al. (2000)</t>
  </si>
  <si>
    <t>Four discordamt points excluded; result probably reflects Pinwarian metamorphism</t>
  </si>
  <si>
    <t>CG84-172</t>
  </si>
  <si>
    <t>CG84-172E</t>
  </si>
  <si>
    <t>Michael gabbro</t>
  </si>
  <si>
    <t>1426 ± 6</t>
  </si>
  <si>
    <t>Groswater Bay</t>
  </si>
  <si>
    <t>22, 23, 24</t>
  </si>
  <si>
    <t>Schärer et al. (1986)</t>
  </si>
  <si>
    <t>L.I. anchored by 978 Ma concordant titanite at L.I. from adjacent gneiss CG84-172B.</t>
  </si>
  <si>
    <t>RIG95-044</t>
  </si>
  <si>
    <t>Sample 03 (95RIG 044)</t>
  </si>
  <si>
    <t>'Michael' gabbro, coronitic</t>
  </si>
  <si>
    <t>1472 +27/-21</t>
  </si>
  <si>
    <t>Z1, Z2, Z3, Z4, Z5, B1, B2, B3</t>
  </si>
  <si>
    <t>Probably not Michael gabbro</t>
  </si>
  <si>
    <t>CG84-172C</t>
  </si>
  <si>
    <t>Double Island garnet-biotite pegmatite</t>
  </si>
  <si>
    <t>1499 +8/-7</t>
  </si>
  <si>
    <t>18, 19, 20</t>
  </si>
  <si>
    <t>L.I. anchored by 978 Ma concordant titanite at L.I. from adjacent gneiss CG84-172B , consistent with ca. 970 Ma discordant titanite from pegmatite.</t>
  </si>
  <si>
    <t>CG84-468</t>
  </si>
  <si>
    <t>CG84-468B</t>
  </si>
  <si>
    <t>Cuff Island banded granodioritic gneiss</t>
  </si>
  <si>
    <t>1587 +60/-55</t>
  </si>
  <si>
    <t>5, 6, 7</t>
  </si>
  <si>
    <t>Inheritance</t>
  </si>
  <si>
    <t>Regression line includes concordant 968 Ma titanite at L.I. Long projection to U.I.</t>
  </si>
  <si>
    <t>CG92-065</t>
  </si>
  <si>
    <t>CG92-065B</t>
  </si>
  <si>
    <t>Mundy Island mafic dyke</t>
  </si>
  <si>
    <t>1650 ± 100</t>
  </si>
  <si>
    <t>Titanite</t>
  </si>
  <si>
    <t>Concordant, nearly</t>
  </si>
  <si>
    <t>6</t>
  </si>
  <si>
    <t>Krogh et al. (2002)</t>
  </si>
  <si>
    <t>Pb/Pb age for point 6; age not indicated on concordia diagram.</t>
  </si>
  <si>
    <t>CG84-471</t>
  </si>
  <si>
    <t>Lab-12</t>
  </si>
  <si>
    <t>Double Mer granite</t>
  </si>
  <si>
    <t>1632 +10/-9</t>
  </si>
  <si>
    <t>29, 30, 31, 32</t>
  </si>
  <si>
    <t>Fairly discordant, most concordant fraction has Pb/Pb age of 1592 Ma</t>
  </si>
  <si>
    <t>CG81-306</t>
  </si>
  <si>
    <t>CG81-306K, -306L</t>
  </si>
  <si>
    <t>Grady Island layered mafic intrusion (syenite and pegm)</t>
  </si>
  <si>
    <t>1644 ± 2</t>
  </si>
  <si>
    <t>6, 7, 11, 12</t>
  </si>
  <si>
    <t>All four analyses are concordant, but one is excluded from average Pb/Pb age quoted. If zircon and titanite data regressed together age is 1647 ± 5 Ma</t>
  </si>
  <si>
    <t>CG81-429</t>
  </si>
  <si>
    <t>Cartwright alkali-feldspar granite</t>
  </si>
  <si>
    <t>1645+7/-5</t>
  </si>
  <si>
    <t>13, 14, 15</t>
  </si>
  <si>
    <t>Regression includes titanite, concordant at L.I.</t>
  </si>
  <si>
    <t>CG92-065C</t>
  </si>
  <si>
    <t>Mundy Island aplite</t>
  </si>
  <si>
    <t>1647 +7/-5</t>
  </si>
  <si>
    <t>7, 8, 9, 10, 11</t>
  </si>
  <si>
    <t>Two concordant fractions have Pb/Pb ages of 1648 and 1645 Ma.</t>
  </si>
  <si>
    <t>CG84-469</t>
  </si>
  <si>
    <t>Bluff Head hornblende. Granodiorite</t>
  </si>
  <si>
    <t>1649 +4/-3</t>
  </si>
  <si>
    <t>1, 2, 3, 4, 5</t>
  </si>
  <si>
    <t>L.I. anchored by 980± 4 Ma concordant titanite</t>
  </si>
  <si>
    <t>CG84-172A</t>
  </si>
  <si>
    <t>Double Island quartz diorite</t>
  </si>
  <si>
    <t>1654 ± 5</t>
  </si>
  <si>
    <t>11, 12 (13, 14)</t>
  </si>
  <si>
    <t>CG84-172B</t>
  </si>
  <si>
    <t>Double Island granodioritic/tonalitic gneiss</t>
  </si>
  <si>
    <t>1658 ± 5</t>
  </si>
  <si>
    <t>Upper, Concordant, nearly</t>
  </si>
  <si>
    <t>15, 16</t>
  </si>
  <si>
    <t>L.I. anchored by 978 Ma concordant titanite at L.I.</t>
  </si>
  <si>
    <t>CG92-066</t>
  </si>
  <si>
    <t>CG92-066A</t>
  </si>
  <si>
    <t>Cutthroat Island melt pod and pegmatite vein</t>
  </si>
  <si>
    <t>1662 ± 10</t>
  </si>
  <si>
    <t>22, 23, 24, 25, 26, 27</t>
  </si>
  <si>
    <t>Involves regression with data from pegmatite CG92-065D</t>
  </si>
  <si>
    <t>CG84-436</t>
  </si>
  <si>
    <t>CG84-436A</t>
  </si>
  <si>
    <t>Red Island hornblende quartz diorite</t>
  </si>
  <si>
    <t>1671 ± 4</t>
  </si>
  <si>
    <t>25, 26, 27, 28</t>
  </si>
  <si>
    <t>No W.R. chem for this sample, CG80-215A (same locality) is used as surrogate by Scharer (1991)</t>
  </si>
  <si>
    <t>CG84-468A</t>
  </si>
  <si>
    <t>Cuff Island nebulitic granodiorite</t>
  </si>
  <si>
    <t>1709 +7/-6</t>
  </si>
  <si>
    <t>1, 2, 3</t>
  </si>
  <si>
    <t>Zircon fraction 2 excluded from regression, which is anchored by 972 Ma concordant titanite at L.I.</t>
  </si>
  <si>
    <t>1733 ± 10</t>
  </si>
  <si>
    <t>5</t>
  </si>
  <si>
    <t>Point 5; age not labelled on concordia diagram</t>
  </si>
  <si>
    <t>1793 ± 2</t>
  </si>
  <si>
    <t>4</t>
  </si>
  <si>
    <t>Point 4; age not labelled on concordia diagram</t>
  </si>
  <si>
    <t>CG91-072</t>
  </si>
  <si>
    <t>CG91-072A</t>
  </si>
  <si>
    <t>Upper Paradise River alkali-feldspar granite</t>
  </si>
  <si>
    <t>ca. 1700</t>
  </si>
  <si>
    <t>Mealy Mountains</t>
  </si>
  <si>
    <t>G4</t>
  </si>
  <si>
    <t>Wasteneys et al. (1997)</t>
  </si>
  <si>
    <t>Pb/Pb age is 1670 Ma, 1700 Ma age assuses Pb loss at 1500 Ma</t>
  </si>
  <si>
    <t>GN95-392</t>
  </si>
  <si>
    <t>Mealy Mountains IS quartzofeldspathic enclave</t>
  </si>
  <si>
    <t>1914 - 1770</t>
  </si>
  <si>
    <t>1, 2, 3, 4, 5, 6, 7</t>
  </si>
  <si>
    <t>Inheritance/detrital</t>
  </si>
  <si>
    <t>Gower et al. (2008)</t>
  </si>
  <si>
    <t>L.I. anchored by zircon age from CG95-154</t>
  </si>
  <si>
    <t>CG95-096</t>
  </si>
  <si>
    <t>CG95-096A</t>
  </si>
  <si>
    <t>Eagle River complex enderbitic granulite gneiss</t>
  </si>
  <si>
    <t>1789 ± 29</t>
  </si>
  <si>
    <t>5,7,9,11</t>
  </si>
  <si>
    <t>L.I. anchored by 1640 Ma zircon age from CG96-096B</t>
  </si>
  <si>
    <t>CG84-317</t>
  </si>
  <si>
    <t>Middle Eagle River hornblende. Granodiorite</t>
  </si>
  <si>
    <t>1735</t>
  </si>
  <si>
    <t>28</t>
  </si>
  <si>
    <t>No W.R. chem or thin section for this sample, CG84-315 used as surrogate by Scharer (1991)</t>
  </si>
  <si>
    <t>CG93-187</t>
  </si>
  <si>
    <t>CG93-187A</t>
  </si>
  <si>
    <t>Pinware megacrystic granite</t>
  </si>
  <si>
    <t>1466 ± 8</t>
  </si>
  <si>
    <t>Pinware</t>
  </si>
  <si>
    <t>2, 6, 9, 11, 12, 13</t>
  </si>
  <si>
    <t>Heaman et al. (2004)</t>
  </si>
  <si>
    <t>CG93-027</t>
  </si>
  <si>
    <t>CG93-027A</t>
  </si>
  <si>
    <t>Country Cat Pond gneissic quartz monzonite</t>
  </si>
  <si>
    <t>1650+18/- 9</t>
  </si>
  <si>
    <t>C5, C6, C7, C8</t>
  </si>
  <si>
    <t>Middle fifth of mixing line between 1650 and 1030 Ma</t>
  </si>
  <si>
    <t>CG87-105</t>
  </si>
  <si>
    <t>CG87-105A</t>
  </si>
  <si>
    <t>Upper Trout River foliated granodiorite</t>
  </si>
  <si>
    <t>1145 +35/-47</t>
  </si>
  <si>
    <t>25, 26, 27, 28, 29</t>
  </si>
  <si>
    <t>Pb loss</t>
  </si>
  <si>
    <t>Tucker and Gower (1994); Wasteneys et al. (1997)</t>
  </si>
  <si>
    <t>Data re-interpreted by Wasteneys et al. (1997) to mean a 1650 Ma protolith.</t>
  </si>
  <si>
    <t>VO92-015</t>
  </si>
  <si>
    <t>VO92-015C</t>
  </si>
  <si>
    <t>Pleasure Cove quartzite</t>
  </si>
  <si>
    <t>1805 ± 10</t>
  </si>
  <si>
    <t>A5, A6, A7</t>
  </si>
  <si>
    <t>Detrital</t>
  </si>
  <si>
    <t>1878 ± 5</t>
  </si>
  <si>
    <t>A8, A9</t>
  </si>
  <si>
    <t>CG87-262</t>
  </si>
  <si>
    <t>West of Trout River quartz monzonite from migmatite</t>
  </si>
  <si>
    <t>2089  ± 140</t>
  </si>
  <si>
    <t>H3, H4, H5, H6, H7</t>
  </si>
  <si>
    <t>Long projection ot U.I.</t>
  </si>
  <si>
    <t>2720 ± 20</t>
  </si>
  <si>
    <t>A10</t>
  </si>
  <si>
    <t>Near U.I., but L.I. of 1020 Ma assumed</t>
  </si>
  <si>
    <t>CG92-066B</t>
  </si>
  <si>
    <t>Cutthroat Island deformed pegmatite</t>
  </si>
  <si>
    <t>1730 ± 2</t>
  </si>
  <si>
    <t>20, 21, 22, 23</t>
  </si>
  <si>
    <t>Regressing the zircon fraction with monazite and titatite from CG92-066A gives U.I. 1738 ± 13 and L.I. 1040 ± 14 Ma</t>
  </si>
  <si>
    <t>CG92-066C</t>
  </si>
  <si>
    <t>Cutthroat Island felsic mylonite</t>
  </si>
  <si>
    <t>1790 ± 2</t>
  </si>
  <si>
    <t>15, 16, 17, 18, 19</t>
  </si>
  <si>
    <t>CG95-341</t>
  </si>
  <si>
    <t>CG95-341A</t>
  </si>
  <si>
    <t>Eagle River complex quartzofeldspathic gneiss</t>
  </si>
  <si>
    <t>1798 ± 240</t>
  </si>
  <si>
    <t>3,4</t>
  </si>
  <si>
    <t>L.I. anchored by 1496 Ma monazite age</t>
  </si>
  <si>
    <t>977 ± 2</t>
  </si>
  <si>
    <t>10</t>
  </si>
  <si>
    <t>CG86-528</t>
  </si>
  <si>
    <t>CG86-528C</t>
  </si>
  <si>
    <t>Bull Island discordant mafic dyke</t>
  </si>
  <si>
    <t>ca. 1000</t>
  </si>
  <si>
    <t>Lower, long projection</t>
  </si>
  <si>
    <t>37, 38, 39</t>
  </si>
  <si>
    <t>L.I. of 3-fraction titanite line</t>
  </si>
  <si>
    <t>CG86-528A, -528B</t>
  </si>
  <si>
    <t>Bull Island unpillowed flow and garnetiferous border</t>
  </si>
  <si>
    <t>ca. 1020</t>
  </si>
  <si>
    <t>31, 34, 35, 36</t>
  </si>
  <si>
    <t>Artificially constrained L.I. Unconstrained L.I. is 1000 Ma.</t>
  </si>
  <si>
    <t>CG84-494</t>
  </si>
  <si>
    <t>Beaver Brook microgranite dyke</t>
  </si>
  <si>
    <t>1029 ± 2</t>
  </si>
  <si>
    <t>Monazite</t>
  </si>
  <si>
    <t>50</t>
  </si>
  <si>
    <t>CG86-528A</t>
  </si>
  <si>
    <t>Bull Island margin of unpillowed flow</t>
  </si>
  <si>
    <t>1474 ± 41</t>
  </si>
  <si>
    <t>33</t>
  </si>
  <si>
    <t>Pale yellow concordant titanite. Point 33 on concordia diagram..</t>
  </si>
  <si>
    <t>CG85-654B, -654C</t>
  </si>
  <si>
    <t>Shoal Bay amphibolite</t>
  </si>
  <si>
    <t>ca. 1490</t>
  </si>
  <si>
    <t>22, 23</t>
  </si>
  <si>
    <t>Close to L.I. on a 1650 - 1490 Ma line</t>
  </si>
  <si>
    <t>1566 ± 13</t>
  </si>
  <si>
    <t>46, 47, 48</t>
  </si>
  <si>
    <t>Regression line includes concordant 1029 Ma monazite at L.I.</t>
  </si>
  <si>
    <t>1567 ± 6</t>
  </si>
  <si>
    <t>Titanite regressin line based on three fractions</t>
  </si>
  <si>
    <t>1585 ± 6</t>
  </si>
  <si>
    <t>32</t>
  </si>
  <si>
    <t>Pb/Pb age of 1.4% discordant brown titanite (Point 32 on concordia diagram) co-existing with yellow titanite</t>
  </si>
  <si>
    <t>CG85-654C</t>
  </si>
  <si>
    <t>1617 ± 14</t>
  </si>
  <si>
    <t>24</t>
  </si>
  <si>
    <t>Error not shown on concordia diagram. Regression including titanite from both microgranite and amphibolite gives 1615 +34/-9 Ma</t>
  </si>
  <si>
    <t>CG85-492D</t>
  </si>
  <si>
    <t>Partridge Bay pegmatite</t>
  </si>
  <si>
    <t>1622 ± 3</t>
  </si>
  <si>
    <t>Zircon, Xenotime</t>
  </si>
  <si>
    <t>Gower et al. (1992)</t>
  </si>
  <si>
    <t>U.I. well constrained by almost concordant xenotime grain</t>
  </si>
  <si>
    <t>VN84-222A</t>
  </si>
  <si>
    <t>White Bear Arm Complex mafic pegmatite</t>
  </si>
  <si>
    <t>1629+3/-2</t>
  </si>
  <si>
    <t>46, 47, 48, 48</t>
  </si>
  <si>
    <t>Two concordant and two near-concordant points in regression line</t>
  </si>
  <si>
    <t>CG85-280</t>
  </si>
  <si>
    <t>Paradise Arm pluton</t>
  </si>
  <si>
    <t>1631 ± 2</t>
  </si>
  <si>
    <t>43</t>
  </si>
  <si>
    <t>1631 Ma is oldest (and concordant) monazite. Two other near concordant monazite grains have ages of 1621 ± 1 Ma and 1613 ± 2 Ma.</t>
  </si>
  <si>
    <t>CG97-061</t>
  </si>
  <si>
    <t>Mealy Mountains terrane granodioritic to granite gneiss</t>
  </si>
  <si>
    <t>1659 ± 44</t>
  </si>
  <si>
    <t>4, 5</t>
  </si>
  <si>
    <t>L.I. anchored by 1030 ± 2 Ma monazite age</t>
  </si>
  <si>
    <t>1030 ± 2</t>
  </si>
  <si>
    <t>6, 7</t>
  </si>
  <si>
    <t>CG98-128</t>
  </si>
  <si>
    <t>CG98-128B</t>
  </si>
  <si>
    <t>Mealy Mountains terrane granitic gneiss</t>
  </si>
  <si>
    <t>1670 ± 5</t>
  </si>
  <si>
    <t>3, 5, 10, 11</t>
  </si>
  <si>
    <t>L.I. based on zircon-titanite regression</t>
  </si>
  <si>
    <t>1029 ± 29</t>
  </si>
  <si>
    <t>CG98-128C</t>
  </si>
  <si>
    <t>Mealy Mountains terrane pegmatite</t>
  </si>
  <si>
    <t>ca. 337</t>
  </si>
  <si>
    <t>Lower</t>
  </si>
  <si>
    <t>13, 14</t>
  </si>
  <si>
    <t>Regression based on two high U, blocky zircons</t>
  </si>
  <si>
    <t>CG98-243</t>
  </si>
  <si>
    <t>Mealy Mountains terrane quartz monzonite, foliated</t>
  </si>
  <si>
    <t>868 ± 660</t>
  </si>
  <si>
    <t>Imprecise L.I. derived by including an additonal 0.7% discordant point</t>
  </si>
  <si>
    <t>CG99-050</t>
  </si>
  <si>
    <t>CG99-050A</t>
  </si>
  <si>
    <t>Southeast St. Paul River monzonite, recrystallized</t>
  </si>
  <si>
    <t>1632 ± 4</t>
  </si>
  <si>
    <t>L.I. anchored by zircon data from CG99-050B, otherwise zircon/titanite data give 1632 +10/-6 Ma and 960 +154/-169 Ma</t>
  </si>
  <si>
    <t>CG99-050B</t>
  </si>
  <si>
    <t>Southeast St. Paul River pegmatitic infill</t>
  </si>
  <si>
    <t>970 ± 5</t>
  </si>
  <si>
    <t>CG99-259</t>
  </si>
  <si>
    <t>CG99-259A</t>
  </si>
  <si>
    <t>Southwestern St. Augustin tonalitic gneiss</t>
  </si>
  <si>
    <t>&gt;1661 ± 9</t>
  </si>
  <si>
    <t>1</t>
  </si>
  <si>
    <t>CG85-309</t>
  </si>
  <si>
    <t>Southwest Brook granite</t>
  </si>
  <si>
    <t>ca. 393</t>
  </si>
  <si>
    <t>24, 25, 26</t>
  </si>
  <si>
    <t>Long projection to L.I.</t>
  </si>
  <si>
    <t>CG86-688</t>
  </si>
  <si>
    <t>Gilbert Bay granite</t>
  </si>
  <si>
    <t>ca. 482</t>
  </si>
  <si>
    <t>a, b, c, d</t>
  </si>
  <si>
    <t>Gower et al. (1991)</t>
  </si>
  <si>
    <t>CG84-436D</t>
  </si>
  <si>
    <t>Red Island K-fs megacrystic intermediate dyke</t>
  </si>
  <si>
    <t>508 +38/-39</t>
  </si>
  <si>
    <t>1, 2, 3, 4, 5, 6</t>
  </si>
  <si>
    <t>MN86-188</t>
  </si>
  <si>
    <t>MN86-188A2</t>
  </si>
  <si>
    <t>Gilbert Bay alkalic mafic dyke</t>
  </si>
  <si>
    <t>955 ± 20</t>
  </si>
  <si>
    <t>O2</t>
  </si>
  <si>
    <t>Cooling</t>
  </si>
  <si>
    <t>974 ± 6</t>
  </si>
  <si>
    <t>O1, O3</t>
  </si>
  <si>
    <t>CG83-554</t>
  </si>
  <si>
    <t>Neveisik Island K-fs megacrystic granodiorite</t>
  </si>
  <si>
    <t>ca. 1026</t>
  </si>
  <si>
    <t>45</t>
  </si>
  <si>
    <t>206Pb/207Pb age</t>
  </si>
  <si>
    <t>CG83-551</t>
  </si>
  <si>
    <t>CG84-473</t>
  </si>
  <si>
    <t>Upper North River amphibolite</t>
  </si>
  <si>
    <t>ca. 1038</t>
  </si>
  <si>
    <t>40, 41</t>
  </si>
  <si>
    <t>RIG95-054</t>
  </si>
  <si>
    <t>Sample 07 (95RIG 054)</t>
  </si>
  <si>
    <t>Henrietta Island metapelite</t>
  </si>
  <si>
    <t>1046 ± 2</t>
  </si>
  <si>
    <t>M4</t>
  </si>
  <si>
    <t>Four single grains analyzed, two concordant at 1988 Ma, two concordant but younger at 1057 Ma and 1046 Ma</t>
  </si>
  <si>
    <t>RIG95-036</t>
  </si>
  <si>
    <t>Sample 05 (95RIG 036)</t>
  </si>
  <si>
    <t>Henrietta Island late-tectonic pegmatite</t>
  </si>
  <si>
    <t>1056 ± 2</t>
  </si>
  <si>
    <t>Z1, Z2, Z3</t>
  </si>
  <si>
    <t>1057 ± 4</t>
  </si>
  <si>
    <t>M2</t>
  </si>
  <si>
    <t>S23</t>
  </si>
  <si>
    <t>S23D</t>
  </si>
  <si>
    <t>Mecklenburg Harbour granitic vein</t>
  </si>
  <si>
    <t>1062 +5/-6</t>
  </si>
  <si>
    <t>Scott et al. (1993)</t>
  </si>
  <si>
    <t>If the titanite data are regressed with zircon data from the same outcrop the L.I. age is 1055 +24/-20 Ma</t>
  </si>
  <si>
    <t>S99</t>
  </si>
  <si>
    <t>Alexis Bay granodioritic gneiss</t>
  </si>
  <si>
    <t>1077 ± 3</t>
  </si>
  <si>
    <t>9, 19</t>
  </si>
  <si>
    <t>RIG95-053</t>
  </si>
  <si>
    <t>Sample 04 (95RIG 053)</t>
  </si>
  <si>
    <t>Henrietta Island boudin neck pegmatite</t>
  </si>
  <si>
    <t>1080 ± 2</t>
  </si>
  <si>
    <t>Z1, Z2, Z3 Z4</t>
  </si>
  <si>
    <t>S46</t>
  </si>
  <si>
    <t>Rexons Cove granitic vein</t>
  </si>
  <si>
    <t>1078 ± 2</t>
  </si>
  <si>
    <t>1079 ± 6</t>
  </si>
  <si>
    <t>Most concordant fraction has Pb/Pb of 1071 Ma</t>
  </si>
  <si>
    <t>1088 ± 3</t>
  </si>
  <si>
    <t>M1, M3</t>
  </si>
  <si>
    <t>VN95-060</t>
  </si>
  <si>
    <t>Eagle River complex granodioritic gneiss</t>
  </si>
  <si>
    <t>1786 +11/-5</t>
  </si>
  <si>
    <t>1894 ± 3</t>
  </si>
  <si>
    <t>2</t>
  </si>
  <si>
    <t>Pb/Pb age</t>
  </si>
  <si>
    <t>CG84-495</t>
  </si>
  <si>
    <t>CG84-495A</t>
  </si>
  <si>
    <t>Second Choice Lake banded migmatitic gneiss</t>
  </si>
  <si>
    <t>ca. 254</t>
  </si>
  <si>
    <t>Lake Melville/Mealy Mountains</t>
  </si>
  <si>
    <t>54, 55</t>
  </si>
  <si>
    <t>CG84-495C</t>
  </si>
  <si>
    <t>Second Choice Lake pegmatite</t>
  </si>
  <si>
    <t>1003 ± 6</t>
  </si>
  <si>
    <t>l, m</t>
  </si>
  <si>
    <t>Pb/Pb age of most concordant titanite fraction</t>
  </si>
  <si>
    <t>53</t>
  </si>
  <si>
    <t>Mildly discordant, but project to U.I. coincident with monazite</t>
  </si>
  <si>
    <t>Regression line includes concordant 1030 Ma monazite at L.I. Long projection to U.I.</t>
  </si>
  <si>
    <t>VN91-264</t>
  </si>
  <si>
    <t>VN91-264B</t>
  </si>
  <si>
    <t>Paradise River biotite granodiorite dyke</t>
  </si>
  <si>
    <t>1038 ± 3</t>
  </si>
  <si>
    <t>J1</t>
  </si>
  <si>
    <t>1047 ± 3</t>
  </si>
  <si>
    <t>J2, J3</t>
  </si>
  <si>
    <t>1677 +16/-15</t>
  </si>
  <si>
    <t>51, 52</t>
  </si>
  <si>
    <t>No W.R. chem or thin section for this sample. NN80-258 is from the same loclaity and is the legitimate surrogate. It is used by Scharer (1991) but erroneously ascribed as from locality CG84-475.</t>
  </si>
  <si>
    <t>ca. 1690</t>
  </si>
  <si>
    <t>i, j, k</t>
  </si>
  <si>
    <t>No. W.R. chem or thin section for this sample. Long projection from near lower intercept; a more reliable age is 1677 Ma from CG84-495A</t>
  </si>
  <si>
    <t>939 ± 5</t>
  </si>
  <si>
    <t>H1, H2</t>
  </si>
  <si>
    <t>VN92-197</t>
  </si>
  <si>
    <t>VN92-197A</t>
  </si>
  <si>
    <t>Tributary of St. Paul River quartz monzonite</t>
  </si>
  <si>
    <t>947 ± 10</t>
  </si>
  <si>
    <t>D1</t>
  </si>
  <si>
    <t>CG86-700</t>
  </si>
  <si>
    <t>Upper St Lewis River (west) granite</t>
  </si>
  <si>
    <t>956 ± 1</t>
  </si>
  <si>
    <t>r,s,t,u</t>
  </si>
  <si>
    <t>Average Pb/Pb age</t>
  </si>
  <si>
    <t>CG87-105B</t>
  </si>
  <si>
    <t>Upper Trout River granite</t>
  </si>
  <si>
    <t>959 ± 2</t>
  </si>
  <si>
    <t>30, 31</t>
  </si>
  <si>
    <t>Tucker and Gower (1994)</t>
  </si>
  <si>
    <t>VN93-033</t>
  </si>
  <si>
    <t>Red Bay gabbro</t>
  </si>
  <si>
    <t>980 ± 3</t>
  </si>
  <si>
    <t>CG93-698</t>
  </si>
  <si>
    <t>Upper Beaver Brook granite</t>
  </si>
  <si>
    <t>960 ± 5</t>
  </si>
  <si>
    <t>M1, M2</t>
  </si>
  <si>
    <t>CG87-660</t>
  </si>
  <si>
    <t>Upper Pinware River granite</t>
  </si>
  <si>
    <t>960 ± 2</t>
  </si>
  <si>
    <t>32, 33</t>
  </si>
  <si>
    <t>960 ± 34 Ma is L.I. anchor point based on regional data.</t>
  </si>
  <si>
    <t>CG87-461</t>
  </si>
  <si>
    <t>Lodge Bay quartz monzodiorite gneiss</t>
  </si>
  <si>
    <t>960 ± 6</t>
  </si>
  <si>
    <t>E1, E2</t>
  </si>
  <si>
    <t>CG93-027B</t>
  </si>
  <si>
    <t>Lower Pinware R. alkali-feldspar syenite</t>
  </si>
  <si>
    <t>962 +76/-120</t>
  </si>
  <si>
    <t>L1, L2, L3, L4, L5, L6, L7, L8</t>
  </si>
  <si>
    <t>Middle part of mixing line between 1359 and 962 Ma.</t>
  </si>
  <si>
    <t>CG87-445</t>
  </si>
  <si>
    <t>CG87-445A</t>
  </si>
  <si>
    <t>Cape Charles quartz monzonite</t>
  </si>
  <si>
    <t>964 ± 12</t>
  </si>
  <si>
    <t>7,8,9, 10</t>
  </si>
  <si>
    <t>Above L.I., regressed with 1490 Ma U.I.</t>
  </si>
  <si>
    <t>CG87-605</t>
  </si>
  <si>
    <t>Chateau Pond granite</t>
  </si>
  <si>
    <t>964 ±  2</t>
  </si>
  <si>
    <t>n, o, p, q</t>
  </si>
  <si>
    <t>CG86-697</t>
  </si>
  <si>
    <t>CG86-697B, -698</t>
  </si>
  <si>
    <t>Rivière Bujeault headwaters quartz syenite</t>
  </si>
  <si>
    <t>964 ± 5</t>
  </si>
  <si>
    <t>v, w, x, y, x, z, aa</t>
  </si>
  <si>
    <t>Combined L.I. age from two samples 2.5 km apart. A 962 +4/-3 Ma date from CG86-697B and two fractions from CG86-698 might be better</t>
  </si>
  <si>
    <t>CG84-195</t>
  </si>
  <si>
    <t>Upper St Lewis River (east) monzonite</t>
  </si>
  <si>
    <t>966 ±  3</t>
  </si>
  <si>
    <t>1, 2, 3, 4</t>
  </si>
  <si>
    <t>Gower and Loveridge (1987)</t>
  </si>
  <si>
    <t>972 ± 5</t>
  </si>
  <si>
    <t>C1, C2</t>
  </si>
  <si>
    <t>CG87-426</t>
  </si>
  <si>
    <t>CG87-426C</t>
  </si>
  <si>
    <t>St. Peter Bay aplite</t>
  </si>
  <si>
    <t>23, 24</t>
  </si>
  <si>
    <t>One analysis has relatively high error</t>
  </si>
  <si>
    <t>CG93-268</t>
  </si>
  <si>
    <t>CG93-268A</t>
  </si>
  <si>
    <t>Pitts Harbour Group banded volcanoclastic(?) rock</t>
  </si>
  <si>
    <t>979 ± 20</t>
  </si>
  <si>
    <t>B1</t>
  </si>
  <si>
    <t>982 ± 5</t>
  </si>
  <si>
    <t>C3, C4</t>
  </si>
  <si>
    <t>983 ± 3</t>
  </si>
  <si>
    <t>M3, M4</t>
  </si>
  <si>
    <t>1359+87/-56</t>
  </si>
  <si>
    <t>CG93-268C</t>
  </si>
  <si>
    <t>L'Anse-au-Diable dyke</t>
  </si>
  <si>
    <t>985 ± 6</t>
  </si>
  <si>
    <t>N1, N2, N3</t>
  </si>
  <si>
    <t>CG93-279</t>
  </si>
  <si>
    <t>Picton Pond quartz monzonite</t>
  </si>
  <si>
    <t>987 ± 2</t>
  </si>
  <si>
    <t>2, 4</t>
  </si>
  <si>
    <t>Part of Picton Pond quartz monzonite</t>
  </si>
  <si>
    <t>CG92-216</t>
  </si>
  <si>
    <t>South of Kyfanan Lake aegerine alkali-feldspar syenite</t>
  </si>
  <si>
    <t>991 ± 5</t>
  </si>
  <si>
    <t>K1, K2</t>
  </si>
  <si>
    <t>CG87-426B</t>
  </si>
  <si>
    <t>St. Peter Bay mafic dike</t>
  </si>
  <si>
    <t>1000 ± 2</t>
  </si>
  <si>
    <t>1009 ± 10</t>
  </si>
  <si>
    <t>D2, D3, D4, D5, D6</t>
  </si>
  <si>
    <t>Precise mixing line between 1649 and 1009 Ma</t>
  </si>
  <si>
    <t>CG93-561</t>
  </si>
  <si>
    <t>Northwest of Black Bay nephelene syenite</t>
  </si>
  <si>
    <t>1015 ± 6</t>
  </si>
  <si>
    <t>1019 ± 14</t>
  </si>
  <si>
    <t>E3, E4, E5, E6</t>
  </si>
  <si>
    <t>Two fractions slightly above L.I.</t>
  </si>
  <si>
    <t>A1, A2, A3, A4</t>
  </si>
  <si>
    <t>Points in middle of chord between 1500 and 1020 Ma</t>
  </si>
  <si>
    <t>1030 +26/- 18</t>
  </si>
  <si>
    <t>CG93-268B</t>
  </si>
  <si>
    <t>L'Anse-au-Diable pegmatite</t>
  </si>
  <si>
    <t>1036 ± 17</t>
  </si>
  <si>
    <t>I1, I2, I3</t>
  </si>
  <si>
    <t>Regression includes data fromhost gneiss CG93-268A</t>
  </si>
  <si>
    <t>1450 +15/-21</t>
  </si>
  <si>
    <t>Lower, Concordant, nearly</t>
  </si>
  <si>
    <t>Short projection to L.I.</t>
  </si>
  <si>
    <t>CG87-469</t>
  </si>
  <si>
    <t>Wolf Cove quartz monzonite</t>
  </si>
  <si>
    <t>1472 ± 3</t>
  </si>
  <si>
    <t>11, 12</t>
  </si>
  <si>
    <t>CG87-426A</t>
  </si>
  <si>
    <t>St. Peter Bay granite</t>
  </si>
  <si>
    <t>1479 ± 2</t>
  </si>
  <si>
    <t>13, 14, 15, 16</t>
  </si>
  <si>
    <t>Minor Pb loss in some fractions</t>
  </si>
  <si>
    <t>1490 ± 5</t>
  </si>
  <si>
    <t>3, 4, 5, 6</t>
  </si>
  <si>
    <t>L.I. is controlled by four titanite fractions (discordant , above L.I.)</t>
  </si>
  <si>
    <t>ca. 1500</t>
  </si>
  <si>
    <t>1530 ± 30</t>
  </si>
  <si>
    <t>U.I. projection from lower half of chord; tentatively takenas age of zircon cores</t>
  </si>
  <si>
    <t>ca. 1590</t>
  </si>
  <si>
    <t>E7, E10</t>
  </si>
  <si>
    <t>Oldest fraction is near concordant</t>
  </si>
  <si>
    <t>1637 ± 8</t>
  </si>
  <si>
    <t>B2, B3, B4, B7</t>
  </si>
  <si>
    <t>Regression includes data for cross-cutting pegmatite CG92-268B</t>
  </si>
  <si>
    <t>RIG95-008</t>
  </si>
  <si>
    <t>Sample 06 (95RIG 008)</t>
  </si>
  <si>
    <t>Rigolet thrust pegmatite</t>
  </si>
  <si>
    <t>1619 +16/-14</t>
  </si>
  <si>
    <t>Zircon, Monazite</t>
  </si>
  <si>
    <t>Z1, Z2</t>
  </si>
  <si>
    <t>Age probably too young</t>
  </si>
  <si>
    <t>CG97-300</t>
  </si>
  <si>
    <t>Eagle River headwaters granite, fluorite</t>
  </si>
  <si>
    <t>964 ± 3</t>
  </si>
  <si>
    <t>1,2,3,4</t>
  </si>
  <si>
    <t>Zircon age is mean of 4 concordant analyses</t>
  </si>
  <si>
    <t>CG97-173</t>
  </si>
  <si>
    <t>One Legged Lake hornblende quartz monzonite</t>
  </si>
  <si>
    <t>951 ± 2</t>
  </si>
  <si>
    <t>CG97-161</t>
  </si>
  <si>
    <t>CG97-161B</t>
  </si>
  <si>
    <t>Pinware terrane amphibolite 2</t>
  </si>
  <si>
    <t>987 ± 7</t>
  </si>
  <si>
    <t>7</t>
  </si>
  <si>
    <t>CG98-218</t>
  </si>
  <si>
    <t>CG98-218B</t>
  </si>
  <si>
    <t>Mealy Mountains IS Crooks Lake anorthosite</t>
  </si>
  <si>
    <t>510 +192/-204</t>
  </si>
  <si>
    <t>L.I. derived by including a 3.1% discordant baddeleyite analysis. U.I. then becomes 1632 +4/-3 Ma</t>
  </si>
  <si>
    <t>EC75-239</t>
  </si>
  <si>
    <t>Mealy Mountains IS northeastE lobe pyroxene granite</t>
  </si>
  <si>
    <t>ca. 771</t>
  </si>
  <si>
    <t>10A, 10B, 10C, 10D, 10E</t>
  </si>
  <si>
    <t>Emslie and Hunt (1990)</t>
  </si>
  <si>
    <t>Long projection from U.I.</t>
  </si>
  <si>
    <t>CG97-220</t>
  </si>
  <si>
    <t>Lost Leg Lake foliated granite</t>
  </si>
  <si>
    <t>964 ± 4</t>
  </si>
  <si>
    <t>CG86-618</t>
  </si>
  <si>
    <t>Southwest Pond granite</t>
  </si>
  <si>
    <t>962 ± 3</t>
  </si>
  <si>
    <t>e, f, g, h</t>
  </si>
  <si>
    <t>1006 +226/-117</t>
  </si>
  <si>
    <t>CG97-161A</t>
  </si>
  <si>
    <t>Pinware terrane quartzofeldspathic gneiss</t>
  </si>
  <si>
    <t>1023 ± 9</t>
  </si>
  <si>
    <t>CG95-096B</t>
  </si>
  <si>
    <t>Eagle River complex mela-amphibolite dyke</t>
  </si>
  <si>
    <t>1044 ± 14</t>
  </si>
  <si>
    <t>Rutite</t>
  </si>
  <si>
    <t>15</t>
  </si>
  <si>
    <t>206Pb/238U rutile age</t>
  </si>
  <si>
    <t>1031 ± 35</t>
  </si>
  <si>
    <t>CG98-302</t>
  </si>
  <si>
    <t>CG98-302B</t>
  </si>
  <si>
    <t>No-Name Lake gabbroic pegmatite</t>
  </si>
  <si>
    <t>1473 ± 19</t>
  </si>
  <si>
    <t>One (of 5) zircon analysis excluded from the regression</t>
  </si>
  <si>
    <t>CG95-341D</t>
  </si>
  <si>
    <t>Eagle River complex pegmatitic boudin infill</t>
  </si>
  <si>
    <t>1496 ± 10</t>
  </si>
  <si>
    <t>7,8</t>
  </si>
  <si>
    <t>CG87-445B</t>
  </si>
  <si>
    <t>Cape Charles quartz monzonite quartzofeldspathic enclave</t>
  </si>
  <si>
    <t>1640 ± 7</t>
  </si>
  <si>
    <t>1, 2</t>
  </si>
  <si>
    <t>Two fractions are 0.8 and 2% discordant. L.I. is anchored by 964 Ma Pb-loss in host rock</t>
  </si>
  <si>
    <t>1113 +6/-5</t>
  </si>
  <si>
    <t>Pb/Pb age of most concordant pont is 1106 Ma</t>
  </si>
  <si>
    <t>1132+7/-6</t>
  </si>
  <si>
    <t>Three of four points seemingly colinear, but date not very reliable because fourth point displaced. Consistent with 1113 Ma date from nearly S46</t>
  </si>
  <si>
    <t>S60</t>
  </si>
  <si>
    <t>Red Point granitic vein</t>
  </si>
  <si>
    <t>1186 +82/-72</t>
  </si>
  <si>
    <t>5, 6, 7, 8</t>
  </si>
  <si>
    <t>CG83-551A</t>
  </si>
  <si>
    <t>Upper North River syenite/granite</t>
  </si>
  <si>
    <t>1296 +13/-12</t>
  </si>
  <si>
    <t>L.I. anchored by 1038 Ma U.I. from amphibolite (CG84-473)  from same outcrop.</t>
  </si>
  <si>
    <t>RIG95-019</t>
  </si>
  <si>
    <t>Sample 02 (95RIG 019)</t>
  </si>
  <si>
    <t>Wolfrey granite</t>
  </si>
  <si>
    <t>1474 +10/-7</t>
  </si>
  <si>
    <t>CG83-178</t>
  </si>
  <si>
    <t>Double Mer White Hills monzonite</t>
  </si>
  <si>
    <t>ca. 1626</t>
  </si>
  <si>
    <t>B,C,D</t>
  </si>
  <si>
    <t>Corrigan et al. (1996)</t>
  </si>
  <si>
    <t>No W.R. chem or thin section for this sample, CG83-181 used as surrogate</t>
  </si>
  <si>
    <t>S23A</t>
  </si>
  <si>
    <t>Mecklenburg Harbour megacrystic granite</t>
  </si>
  <si>
    <t>1644 +8/-6</t>
  </si>
  <si>
    <t>11, 12, 13, 14</t>
  </si>
  <si>
    <t>If the zircon data are regressed with titanite data from the same outcrop the U.I. age is 1671 +64/-10 Ma.</t>
  </si>
  <si>
    <t>1660 +8/-7</t>
  </si>
  <si>
    <t>Sample CG81-215A from same locality used as surrogate by Scharer (1991). Note that this age is revised from 1676 +7/-6 reported by Scharer (1991)</t>
  </si>
  <si>
    <t>1664 +14/-9</t>
  </si>
  <si>
    <t>Pb/Pb age of most concordant point is 1641 Ma</t>
  </si>
  <si>
    <t>1678 ± 6</t>
  </si>
  <si>
    <t>42, 43, 44</t>
  </si>
  <si>
    <t>No W.R. chem or thin section for this sample, NN80-349 (1 km to west) is used as surrogate by Scharer (1991). L.I&gt; anchored by 1026 Ma near concordant titanite</t>
  </si>
  <si>
    <t>RIG95-102</t>
  </si>
  <si>
    <t>Sample 09 (95RIG 102)</t>
  </si>
  <si>
    <t>Rigolet shear zone metapelite, upper structural level</t>
  </si>
  <si>
    <t>1047 ± 4</t>
  </si>
  <si>
    <t>Metamorphism/thrusting</t>
  </si>
  <si>
    <t>Minimum time of thrusting of LMT onto GBT</t>
  </si>
  <si>
    <t>VN91-233</t>
  </si>
  <si>
    <t>VN91-233A</t>
  </si>
  <si>
    <t>Upper Paradise River granite</t>
  </si>
  <si>
    <t>1495 ± 7</t>
  </si>
  <si>
    <t>F1, F2, F3, F4, F5</t>
  </si>
  <si>
    <t>1498 ± 8</t>
  </si>
  <si>
    <t>1, 3, 4, 5</t>
  </si>
  <si>
    <t>Monazite anchors L.I.; one (of 5) zircon analysis excluded from regression</t>
  </si>
  <si>
    <t>1501 ± 3</t>
  </si>
  <si>
    <t>1, 2, 3, 5, 6</t>
  </si>
  <si>
    <t>Monazite anchors L.I.; one (of 6) zircon analysis excluded from regression</t>
  </si>
  <si>
    <t>1501 ± 9</t>
  </si>
  <si>
    <t>G1, G2, G3</t>
  </si>
  <si>
    <t>1626 ± 10</t>
  </si>
  <si>
    <t>CG98-128A</t>
  </si>
  <si>
    <t>Mealy Mountains terrane amphibolite (mafic dyke)</t>
  </si>
  <si>
    <t>1626 ± 8</t>
  </si>
  <si>
    <t>L.I. anchored by 1030 Ma zircon-titanite data from CG98-218B &amp; C</t>
  </si>
  <si>
    <t>1631 ± 1</t>
  </si>
  <si>
    <t>29, 30</t>
  </si>
  <si>
    <t>No W.R. chem or thin section for this sample, CG83-181 used as surrogate by Scharer (1991)</t>
  </si>
  <si>
    <t>1649 ± 7</t>
  </si>
  <si>
    <t>CG84-491</t>
  </si>
  <si>
    <t>Long Range dyke</t>
  </si>
  <si>
    <t>ca. 130</t>
  </si>
  <si>
    <t>Kamo and Gower (1994)</t>
  </si>
  <si>
    <t>614 +6/-4</t>
  </si>
  <si>
    <t>Points 0.8 to 3.5% discordant</t>
  </si>
  <si>
    <t>CG84-470</t>
  </si>
  <si>
    <t>Mokami Hill quartz monzonite</t>
  </si>
  <si>
    <t>ca. 770</t>
  </si>
  <si>
    <t>Gower and Kamo (1997)</t>
  </si>
  <si>
    <t>837 +115/-107</t>
  </si>
  <si>
    <t>CG84-468D, -468E</t>
  </si>
  <si>
    <t>Cuff Island garnet gabbro</t>
  </si>
  <si>
    <t>ca. 931, ca. 923</t>
  </si>
  <si>
    <t>9, 10</t>
  </si>
  <si>
    <t>931 Ma rutile grain is from margin of gabbro; 923 Ma rutile is from core of gabbro</t>
  </si>
  <si>
    <t>941 +39/-36</t>
  </si>
  <si>
    <t>968 +7/-8</t>
  </si>
  <si>
    <t>978 ± 4</t>
  </si>
  <si>
    <t>21</t>
  </si>
  <si>
    <t>ca. 970 titanite obtained, but not used in regression</t>
  </si>
  <si>
    <t>972 ± 4</t>
  </si>
  <si>
    <t>973 ± 11</t>
  </si>
  <si>
    <t>8, 9, 10</t>
  </si>
  <si>
    <t>Pale yellow titanite concordant and anchors lower intercept.</t>
  </si>
  <si>
    <t>17</t>
  </si>
  <si>
    <t>980 ± 4</t>
  </si>
  <si>
    <t>1010 ± 10</t>
  </si>
  <si>
    <t>1020 ± 5</t>
  </si>
  <si>
    <t>16</t>
  </si>
  <si>
    <t>206Pb/238U age</t>
  </si>
  <si>
    <t>CG92-065D</t>
  </si>
  <si>
    <t>Mundy Island pegmatite</t>
  </si>
  <si>
    <t>1500 ± 270</t>
  </si>
  <si>
    <t>U. I. for regression lin for points 13 and 14 (not shown on concordia diagram).</t>
  </si>
  <si>
    <t>1417 ± 5</t>
  </si>
  <si>
    <t>One grain, give Pb/Pb age of 1422 ± 2 Ma, may contain minor inheritance</t>
  </si>
  <si>
    <t>1645 ± 4</t>
  </si>
  <si>
    <t>L.I. constrained to 1020 Ma. U.I. age is 1643 +200/-7 Ma if ca. 1000 Ma unconstrained L.I. of zircons is used.</t>
  </si>
  <si>
    <t>1646 ± 2</t>
  </si>
  <si>
    <t>23</t>
  </si>
  <si>
    <t>CG85-148</t>
  </si>
  <si>
    <t>CG85-148A</t>
  </si>
  <si>
    <t>Paradise metasedimentary gneiss</t>
  </si>
  <si>
    <t>1647-1627</t>
  </si>
  <si>
    <t>12, 13, 14, 15, 16, 17, 18</t>
  </si>
  <si>
    <t>The interpretation that the zircons are detrital superceded by Kamo et al (1996)</t>
  </si>
  <si>
    <t>1649 ± 4</t>
  </si>
  <si>
    <t>18</t>
  </si>
  <si>
    <t>CG92-065A</t>
  </si>
  <si>
    <t>White Bear Islands granulite complex</t>
  </si>
  <si>
    <t>1799 +3/-2</t>
  </si>
  <si>
    <t>PE82-088</t>
  </si>
  <si>
    <t>Lab-13</t>
  </si>
  <si>
    <t>Sebaskatchu tonalitic gneiss</t>
  </si>
  <si>
    <t>1038 +98/-81</t>
  </si>
  <si>
    <t>33, 34, 35, 36</t>
  </si>
  <si>
    <t>1677 +18/-11</t>
  </si>
  <si>
    <t>Most concordant point has Pb/Pb age of 1650 Ma</t>
  </si>
  <si>
    <t>ca. 127</t>
  </si>
  <si>
    <t>ca. 1640</t>
  </si>
  <si>
    <t>51</t>
  </si>
  <si>
    <t>Emplacement/metamorphism</t>
  </si>
  <si>
    <t>1640 Ma is Pb/Pb age given by most concordant zircon fraction</t>
  </si>
  <si>
    <t>1642 ± 4</t>
  </si>
  <si>
    <t>14</t>
  </si>
  <si>
    <t>CG84-476</t>
  </si>
  <si>
    <t>255 +112/-88</t>
  </si>
  <si>
    <t>1, 2, 3, 4, 5, 6, 7, 8</t>
  </si>
  <si>
    <t>Kamo et al. (1989)</t>
  </si>
  <si>
    <t>Partidge Bay pegmatite</t>
  </si>
  <si>
    <t>320 ± 3</t>
  </si>
  <si>
    <t>Good fit to regression suggests that 320 Ma represents time of real thermal event</t>
  </si>
  <si>
    <t>ca. 320</t>
  </si>
  <si>
    <t>Zircon, Titanite</t>
  </si>
  <si>
    <t>46, 47, 48, 49, 50</t>
  </si>
  <si>
    <t>Long projection to L.I. on combined zirocn-titanite regression line</t>
  </si>
  <si>
    <t>425 ± 96</t>
  </si>
  <si>
    <t>Regression through all three points</t>
  </si>
  <si>
    <t>ca. 396</t>
  </si>
  <si>
    <t>615 ± 2</t>
  </si>
  <si>
    <t>Average Pb/Pb age is 615.9 ± 1.2</t>
  </si>
  <si>
    <t>CG85-148B, -148C</t>
  </si>
  <si>
    <t>Sand Hill River microgranite and pegmatite</t>
  </si>
  <si>
    <t>877+370/-297</t>
  </si>
  <si>
    <t>25,26, 27,28,29,30</t>
  </si>
  <si>
    <t>ca. 890</t>
  </si>
  <si>
    <t>Discordant point 13 controls extrapolation to L.I.</t>
  </si>
  <si>
    <t>1638+11/-3</t>
  </si>
  <si>
    <t>Data refutes detrital interpretation of Gower et al. (1992)</t>
  </si>
  <si>
    <t>1639 ± 2</t>
  </si>
  <si>
    <t>40, 41, 42</t>
  </si>
  <si>
    <t>1632 ± 3</t>
  </si>
  <si>
    <t>1635 +22/-8</t>
  </si>
  <si>
    <t>Points1.6 to 4.6% discordant</t>
  </si>
  <si>
    <t>CG97-080</t>
  </si>
  <si>
    <t>Upper Eagle River meta-leuconorite</t>
  </si>
  <si>
    <t>1612 ± 4</t>
  </si>
  <si>
    <t>206Pb-207Pb age</t>
  </si>
  <si>
    <t>1640 ± 2</t>
  </si>
  <si>
    <t>12,13,14</t>
  </si>
  <si>
    <t>CG97-028</t>
  </si>
  <si>
    <t>Mealy Mountains IS east of Crooks L. monz/syn</t>
  </si>
  <si>
    <t>1635 ± 2</t>
  </si>
  <si>
    <t>Pb/Pb age from most concordant of two near-concordant points</t>
  </si>
  <si>
    <t>CG95-154</t>
  </si>
  <si>
    <t>Mealy Mountains IS east of Muskrat L. monzonite</t>
  </si>
  <si>
    <t>2, 3, 4, 5</t>
  </si>
  <si>
    <t>Excludes a 1.1% discordant point</t>
  </si>
  <si>
    <t>EC75-080</t>
  </si>
  <si>
    <t>Mealy Mountains IS Boots Lake monzonite</t>
  </si>
  <si>
    <t>1645.5 ± 1.5</t>
  </si>
  <si>
    <t>9A, 9B, 9C</t>
  </si>
  <si>
    <t>Pb/Pb age from concordant fraction 9C</t>
  </si>
  <si>
    <t>1662 ± 19</t>
  </si>
  <si>
    <t>L.I. anchored at 1500 Ma for calculating realistic U.I. error, otherwise 1662 ± 58  Ma</t>
  </si>
  <si>
    <t>1655 ± 2</t>
  </si>
  <si>
    <t>1469 ± 3</t>
  </si>
  <si>
    <t>1658 ± 3</t>
  </si>
  <si>
    <t>&gt;1687 ± 4</t>
  </si>
  <si>
    <t>Inheritance maximum age obtained using 1030 Ma L.I. anchor</t>
  </si>
  <si>
    <t>&lt;1739 ± 1</t>
  </si>
  <si>
    <t>3</t>
  </si>
  <si>
    <t>ca. 218</t>
  </si>
  <si>
    <t>CG99-259B</t>
  </si>
  <si>
    <t>Southwest St. Paul River granite to alkali-feldspar granite</t>
  </si>
  <si>
    <t>1779 ± 18</t>
  </si>
  <si>
    <t>12</t>
  </si>
  <si>
    <t>1779 Ma date is long extrapolation to U.I., based on 1029 Ma anchorage from CG99-295A</t>
  </si>
  <si>
    <t>CG99-259C</t>
  </si>
  <si>
    <t>Southwest St. Paul River irregular pegmatite</t>
  </si>
  <si>
    <t>1012 ± 1</t>
  </si>
  <si>
    <t>1014 ± 3 Ma if regressed with monazite from CG99-259A</t>
  </si>
  <si>
    <t>CG99-195</t>
  </si>
  <si>
    <t>CG99-195A</t>
  </si>
  <si>
    <t>Southern St. Paul River granite, foliated</t>
  </si>
  <si>
    <t>1509 +7/-6</t>
  </si>
  <si>
    <t>L.I. anchored by zircon data from CG99-195B</t>
  </si>
  <si>
    <t>CG00-319</t>
  </si>
  <si>
    <t>CG00-319A, -319B</t>
  </si>
  <si>
    <t>St. Augustin River granodiorite, recrystallized</t>
  </si>
  <si>
    <t>1507 ± 8</t>
  </si>
  <si>
    <t>1, 2, 3, 4, 6, 7, 8, 9</t>
  </si>
  <si>
    <t>Combined regression of zircon data from CG00-319A &amp; B. U.I. is 1505 ± 13 Ma if anchored by 990 Ma titanite</t>
  </si>
  <si>
    <t>CG00-319C</t>
  </si>
  <si>
    <t>St. Augustin River pegmatitic infill</t>
  </si>
  <si>
    <t>1879 ± 10</t>
  </si>
  <si>
    <t>Inheritance dates use 1017 Ma anchor</t>
  </si>
  <si>
    <t>CG99-254</t>
  </si>
  <si>
    <t>Southwestern St. Augustin  granodiorite, recrystallized</t>
  </si>
  <si>
    <t>1549 ± 8</t>
  </si>
  <si>
    <t>1549 Ma inheritance based on two colinear data, for which the L.I. is 1032 ± 30 Ma</t>
  </si>
  <si>
    <t>CG00-169</t>
  </si>
  <si>
    <t>Southern St. Augustin granodioritic gneiss</t>
  </si>
  <si>
    <t>1484 ± 180</t>
  </si>
  <si>
    <t>L.I. anchored at 1.9% discordant, 1022 Ma Pb/Pb date</t>
  </si>
  <si>
    <t>CG99-364</t>
  </si>
  <si>
    <t>Fold test K-fs megacrystic granodiorite</t>
  </si>
  <si>
    <t>1039 ± 5</t>
  </si>
  <si>
    <t>CG00-154</t>
  </si>
  <si>
    <t>CG00-154A</t>
  </si>
  <si>
    <t>Upper St. Augustin River quartzofeldspathic gneiss enclave</t>
  </si>
  <si>
    <t>2377 ± 2</t>
  </si>
  <si>
    <t>207Pb/206Pb age anchored by 1771 Ma age of host</t>
  </si>
  <si>
    <t>CG00-154B</t>
  </si>
  <si>
    <t>Upper St. Augustin River K-fs megacrystic granodiorite</t>
  </si>
  <si>
    <t>1043 ± 2</t>
  </si>
  <si>
    <t>1043 Ma is weighted mean of 4 analyses</t>
  </si>
  <si>
    <t>CG00-154C</t>
  </si>
  <si>
    <t>Upper St. Augustin River microgranite</t>
  </si>
  <si>
    <t>972 ± 2</t>
  </si>
  <si>
    <t>206Pb/238U  age</t>
  </si>
  <si>
    <t>CG00-221</t>
  </si>
  <si>
    <t>Upper St. Augustin River feldspathic quartzite</t>
  </si>
  <si>
    <t>2399 ± 7</t>
  </si>
  <si>
    <t>2, 3</t>
  </si>
  <si>
    <t>2399 Ma date uses 1020 Ma L.I. anchor</t>
  </si>
  <si>
    <t>CG00-135</t>
  </si>
  <si>
    <t>13B05 north-central mononite to syenite_x000D_
onzonite to syenite</t>
  </si>
  <si>
    <t>1, 2, 3,4</t>
  </si>
  <si>
    <t>Reported age (206Pb/238U) uses most precise (concordant) of 4 analyses.</t>
  </si>
  <si>
    <t>958 ± 10</t>
  </si>
  <si>
    <t>8, 9</t>
  </si>
  <si>
    <t>1628 ± 25</t>
  </si>
  <si>
    <t>2, 3, 4, 5, 6</t>
  </si>
  <si>
    <t>1029 ± 7</t>
  </si>
  <si>
    <t>3, 6</t>
  </si>
  <si>
    <t>1024 ± 14</t>
  </si>
  <si>
    <t>953 ± 55</t>
  </si>
  <si>
    <t>11</t>
  </si>
  <si>
    <t>CG99-195B</t>
  </si>
  <si>
    <t>Southern St. Paul River porphyroclastic pegmatite</t>
  </si>
  <si>
    <t>1025 ± 11</t>
  </si>
  <si>
    <t>5, 6</t>
  </si>
  <si>
    <t>1024 ± 1</t>
  </si>
  <si>
    <t>999 ± 33</t>
  </si>
  <si>
    <t>Regression with zircon data from CG00-319B.</t>
  </si>
  <si>
    <t>CG00-319B</t>
  </si>
  <si>
    <t>Pinware terrane amphibolite 1</t>
  </si>
  <si>
    <t>942 ± 29</t>
  </si>
  <si>
    <t>988  ± 32</t>
  </si>
  <si>
    <t>1497 ± 13</t>
  </si>
  <si>
    <t>1023 ± 24</t>
  </si>
  <si>
    <t>942 ± 160</t>
  </si>
  <si>
    <t>9</t>
  </si>
  <si>
    <t>993 ± 25</t>
  </si>
  <si>
    <t>1022 ± 5</t>
  </si>
  <si>
    <t>958 ± 147</t>
  </si>
  <si>
    <t>207Pb/206Pb age</t>
  </si>
  <si>
    <t>977 ± 10</t>
  </si>
  <si>
    <t>1771 ± 4</t>
  </si>
  <si>
    <t>1, 2, 3, 6, 7, 9, 10</t>
  </si>
  <si>
    <t>L.I. uses 1043 Ma age of enclave host rock</t>
  </si>
  <si>
    <t>1022 ± 24</t>
  </si>
  <si>
    <t>958 ± 3</t>
  </si>
  <si>
    <t>22</t>
  </si>
  <si>
    <t>1015 ± 2</t>
  </si>
  <si>
    <t>988 ± 2</t>
  </si>
  <si>
    <t>CG93-248</t>
  </si>
  <si>
    <t>CG93-248A</t>
  </si>
  <si>
    <t>West St. Modeste granite</t>
  </si>
  <si>
    <t>1500 ± 14</t>
  </si>
  <si>
    <t>Figure 4c of Heaman et al. (2004) labelled as 97SP-046A; erroneous - should be CG93-248A</t>
  </si>
  <si>
    <t>970 ± 57</t>
  </si>
  <si>
    <t>CG93-273</t>
  </si>
  <si>
    <t>Diable Bay granodiorite</t>
  </si>
  <si>
    <t>1467 ± 44</t>
  </si>
  <si>
    <t>567</t>
  </si>
  <si>
    <t>L.I. anchored at 985 Ma</t>
  </si>
  <si>
    <t>847 ± 49</t>
  </si>
  <si>
    <t>Long extrapolation to L.I.</t>
  </si>
  <si>
    <t>ca. 960</t>
  </si>
  <si>
    <t>Allanite</t>
  </si>
  <si>
    <t>8</t>
  </si>
  <si>
    <t>CG93-027C, -062</t>
  </si>
  <si>
    <t>1413 ± 27</t>
  </si>
  <si>
    <t>969 ± 11</t>
  </si>
  <si>
    <t>1030 ± 10</t>
  </si>
  <si>
    <t>Age indicated as ca. 1030 Ma on concordia diagram.</t>
  </si>
  <si>
    <t>353 +130/-126</t>
  </si>
  <si>
    <t>L.I. not shown on concordia diagram.</t>
  </si>
  <si>
    <t>1120 +141/-126</t>
  </si>
  <si>
    <t>RIG95-009A</t>
  </si>
  <si>
    <t>Sample 08 (95RIG 009A)</t>
  </si>
  <si>
    <t>Rigolet shear zone metapelite, central structural level</t>
  </si>
  <si>
    <t>1610 ± 4</t>
  </si>
  <si>
    <t>M1,M2</t>
  </si>
  <si>
    <t>RIG95-093</t>
  </si>
  <si>
    <t>Sample 10 (95RIG 093)</t>
  </si>
  <si>
    <t>English River shear zone syn-tectonic pegmatite</t>
  </si>
  <si>
    <t>1013 ± 4</t>
  </si>
  <si>
    <t>M1, M2, M3, M4</t>
  </si>
  <si>
    <t>96SP-004</t>
  </si>
  <si>
    <t>96SP-004A</t>
  </si>
  <si>
    <t>Quebec</t>
  </si>
  <si>
    <t>Brador River K-fs megacrystic granite</t>
  </si>
  <si>
    <t>1632 ± 8</t>
  </si>
  <si>
    <t>97SP-046</t>
  </si>
  <si>
    <t>97SP-046A</t>
  </si>
  <si>
    <t>Rivière St-Paul tonalite</t>
  </si>
  <si>
    <t>1504 ± 9</t>
  </si>
  <si>
    <t>L.I. Anchored at 985 Ma</t>
  </si>
  <si>
    <t>FHC-33-01A</t>
  </si>
  <si>
    <t>Fox Harbour volcanics, Road Belt, rhyolite</t>
  </si>
  <si>
    <t>1256 ± 24</t>
  </si>
  <si>
    <t>5 grains</t>
  </si>
  <si>
    <t>Haley (2013)</t>
  </si>
  <si>
    <t>LA-ICPMS</t>
  </si>
  <si>
    <t>FHC-34-03</t>
  </si>
  <si>
    <t>1047 ± 17</t>
  </si>
  <si>
    <t>10 grains</t>
  </si>
  <si>
    <t>CG83-006</t>
  </si>
  <si>
    <t>1437 ± 3</t>
  </si>
  <si>
    <t>Baddeleyite</t>
  </si>
  <si>
    <t>Four fractions</t>
  </si>
  <si>
    <t>Rogers et al. (2014)</t>
  </si>
  <si>
    <t>709 ± 97</t>
  </si>
  <si>
    <t>FHWT-6-02</t>
  </si>
  <si>
    <t>Fox Harbour volcanics, South Belt, rhyolite</t>
  </si>
  <si>
    <t>1297 ± 21</t>
  </si>
  <si>
    <t>11 grains</t>
  </si>
  <si>
    <t>FH-10-02</t>
  </si>
  <si>
    <t>Granitic vein, MT Belt, Fox Harbour volcanics</t>
  </si>
  <si>
    <t>1018 ± 30</t>
  </si>
  <si>
    <t>3 grains</t>
  </si>
  <si>
    <t>FHC-44-01</t>
  </si>
  <si>
    <t>Fox Harbour volcanics, MT Belt, rhyolite</t>
  </si>
  <si>
    <t>1346 ± 51</t>
  </si>
  <si>
    <t>Discordant</t>
  </si>
  <si>
    <t>8 grains</t>
  </si>
  <si>
    <t>FHC-45-01</t>
  </si>
  <si>
    <t>1250 ± 20</t>
  </si>
  <si>
    <t>15 grains</t>
  </si>
  <si>
    <t>1300 ± 2.5</t>
  </si>
  <si>
    <t>Z1, Z2, Z3, Z4, Z6</t>
  </si>
  <si>
    <t>CA-TIMS</t>
  </si>
  <si>
    <t>1388 ± 65</t>
  </si>
  <si>
    <t>1 grain</t>
  </si>
  <si>
    <t>1140 ± 67</t>
  </si>
  <si>
    <t>1031 ± 73</t>
  </si>
  <si>
    <t>1050 ± 21</t>
  </si>
  <si>
    <t>1410 ± 53</t>
  </si>
  <si>
    <t>96MKJ-55a</t>
  </si>
  <si>
    <t>Cape Harrison metamorphic suite foliated tonalite</t>
  </si>
  <si>
    <t>1796</t>
  </si>
  <si>
    <t>Cape Harrison domain, Makkovik Prov.</t>
  </si>
  <si>
    <t>T1</t>
  </si>
  <si>
    <t>Not stated</t>
  </si>
  <si>
    <t>Ketchum et al. (2002)</t>
  </si>
  <si>
    <t>BI-06</t>
  </si>
  <si>
    <t>Battle Island pegmatite</t>
  </si>
  <si>
    <t>1017 ± 9 Ma</t>
  </si>
  <si>
    <t>Z3A, Z4A, Z0A</t>
  </si>
  <si>
    <t>Peressini (2000)</t>
  </si>
  <si>
    <t>Three fractions rejected due to analytical problems</t>
  </si>
  <si>
    <t>97SP-046C</t>
  </si>
  <si>
    <t>Rivière St-Paul granite</t>
  </si>
  <si>
    <t>1526 ± 14</t>
  </si>
  <si>
    <t>1, 2, 3, 6</t>
  </si>
  <si>
    <t>97SP-068</t>
  </si>
  <si>
    <t>97SP-068B</t>
  </si>
  <si>
    <t>Lourdes-de-Blanc-Sablon gabbronorite</t>
  </si>
  <si>
    <t>1248 ± 5</t>
  </si>
  <si>
    <t>97SP-052</t>
  </si>
  <si>
    <t>Vieux Fort anorthosite</t>
  </si>
  <si>
    <t>975 ± 2</t>
  </si>
  <si>
    <t>1, 2, 3,4, 5, 6</t>
  </si>
  <si>
    <t>999 ± 23</t>
  </si>
  <si>
    <t>ca. 974</t>
  </si>
  <si>
    <t>1, 3</t>
  </si>
  <si>
    <t>S401</t>
  </si>
  <si>
    <t>Long Harbour granitic vein</t>
  </si>
  <si>
    <t>1509 +11/-12</t>
  </si>
  <si>
    <t>18, 19, 29, 21</t>
  </si>
  <si>
    <t>946 ± 3</t>
  </si>
  <si>
    <t>5,6</t>
  </si>
  <si>
    <t>206Pb/238U titanite age</t>
  </si>
  <si>
    <t>1902 ± 2</t>
  </si>
  <si>
    <t>2606 ± 3</t>
  </si>
  <si>
    <t>1082 ± 180</t>
  </si>
  <si>
    <t>Regrssion included monazite data from CG95-341A</t>
  </si>
  <si>
    <t>1017 ± 4</t>
  </si>
  <si>
    <t>1621 ± 6</t>
  </si>
  <si>
    <t>Inheritance date uses 1017 ± 4 Ma titanite L.I. anchor.</t>
  </si>
  <si>
    <t>962 ± 219</t>
  </si>
  <si>
    <t>1043 ± 3</t>
  </si>
  <si>
    <t>If anchored at 970 Ma, the 1043 Ma Pb/Pb age has an U.I. of 1848 ± 190 Ma. Not shown on concordia diagram.</t>
  </si>
  <si>
    <t>1024 ± 17</t>
  </si>
  <si>
    <t>1189 ± 2</t>
  </si>
  <si>
    <t>If anchored at 970 Ma, 1189 Ma Pb/Pb age has an U.I. of 1622 ± 27 Ma, but is more likely Pinwarian with recent Pb loss</t>
  </si>
  <si>
    <t>1027 ± 1</t>
  </si>
  <si>
    <t>CG00-319A</t>
  </si>
  <si>
    <t>990 ± 35</t>
  </si>
  <si>
    <t>1645 ± 60</t>
  </si>
  <si>
    <t>11, 16</t>
  </si>
  <si>
    <t>1575 ± 8</t>
  </si>
  <si>
    <t>1017 ± 3</t>
  </si>
  <si>
    <t>1637 ± 7</t>
  </si>
  <si>
    <t>2045 ± 2</t>
  </si>
  <si>
    <t>2745 ± 2</t>
  </si>
  <si>
    <t>999 ± 20</t>
  </si>
  <si>
    <t>946 ± 74</t>
  </si>
  <si>
    <t>1030 ± 6</t>
  </si>
  <si>
    <t>20</t>
  </si>
  <si>
    <t>991 ± 6</t>
  </si>
  <si>
    <t>18, 19</t>
  </si>
  <si>
    <t>ca. 1049</t>
  </si>
  <si>
    <t>ca. 2460</t>
  </si>
  <si>
    <t>1025 ± 2</t>
  </si>
  <si>
    <t>921 ± 10</t>
  </si>
  <si>
    <t>Titanite falls, within error, on the discordia line defined by zircon.</t>
  </si>
  <si>
    <t>CG97-301</t>
  </si>
  <si>
    <t>Newfoundland</t>
  </si>
  <si>
    <t>Ten Mile Lake granite</t>
  </si>
  <si>
    <t>1601 ± 9</t>
  </si>
  <si>
    <t>Long Range</t>
  </si>
  <si>
    <t>5, 6, 8</t>
  </si>
  <si>
    <t>Two of six multigrain zircon fractions used, and one titanite fraction</t>
  </si>
  <si>
    <t>976 ± 5</t>
  </si>
  <si>
    <t>96MKJ-72</t>
  </si>
  <si>
    <t>East of Post Hill granodiorite gneiss, Aillik domain</t>
  </si>
  <si>
    <t>2813 +16/-13</t>
  </si>
  <si>
    <t>Aillik domain, Makkovik Prov.</t>
  </si>
  <si>
    <t>Z1, Z2, Z3, Z4, Z5, Z6</t>
  </si>
  <si>
    <t>Younger than Archean age range for Hopedale block - reflects thrust imbrication?</t>
  </si>
  <si>
    <t>96MKJ-58c</t>
  </si>
  <si>
    <t>Aillik Group, quartz porphyry</t>
  </si>
  <si>
    <t>1853 ± 2</t>
  </si>
  <si>
    <t>96MKJ-1a</t>
  </si>
  <si>
    <t>Cape Harrison metamorphic suite granodiorite gneiss</t>
  </si>
  <si>
    <t>1815 +12/-9</t>
  </si>
  <si>
    <t>96MKJ-56</t>
  </si>
  <si>
    <t>Cape Harrison MS tonailite gneiss xenolith in granite</t>
  </si>
  <si>
    <t>1815 ± 2</t>
  </si>
  <si>
    <t>Z3, Z6, Z7</t>
  </si>
  <si>
    <t>Age based on two most concordant, abraded fractions</t>
  </si>
  <si>
    <t>1815 +5/-4</t>
  </si>
  <si>
    <t>Z1, Z2, Z3, Z4</t>
  </si>
  <si>
    <t>569 ± 50 Ma L.I. is  anchored, otherwise U.I. and L.I. are 1815 +9/-6 and 569 +205/-189 Ma</t>
  </si>
  <si>
    <t>96MKJ-60</t>
  </si>
  <si>
    <t>Cape Harrison metamorphic suite megacrystic granite</t>
  </si>
  <si>
    <t>1798 +3/-2</t>
  </si>
  <si>
    <t>1767 ± 2</t>
  </si>
  <si>
    <t>Core material</t>
  </si>
  <si>
    <t>1759 ± 2</t>
  </si>
  <si>
    <t>T2</t>
  </si>
  <si>
    <t>Rim material</t>
  </si>
  <si>
    <t>1863 ± 91</t>
  </si>
  <si>
    <t>497 +241/-263</t>
  </si>
  <si>
    <t>105 ± 95</t>
  </si>
  <si>
    <t>569 ± 50</t>
  </si>
  <si>
    <t>569 ± 50 Ma is anchored value, otherwise U.I. and L.I. are 1815 +9/-6 and 569 +205 /-189 Ma</t>
  </si>
  <si>
    <t>241 ± 246</t>
  </si>
  <si>
    <t>AKZ-5</t>
  </si>
  <si>
    <t>Numok Intrusive Suite fayalite syenite</t>
  </si>
  <si>
    <t>1801 ± 2</t>
  </si>
  <si>
    <t>Kerr et al. (1992)</t>
  </si>
  <si>
    <t>Regression with quartz monzonite HSZ-1 from same suite gives 1802 +8/-2 Ma, and L.I. of ca. 649 Ma</t>
  </si>
  <si>
    <t>AKZ-23</t>
  </si>
  <si>
    <t>Big River granite</t>
  </si>
  <si>
    <t>1802 ± 2</t>
  </si>
  <si>
    <t>AKZ-6</t>
  </si>
  <si>
    <t>Stag Bay porphyritic granodiorite</t>
  </si>
  <si>
    <t>ca. 1800</t>
  </si>
  <si>
    <t>Pb/Pb age is 1799 Ma</t>
  </si>
  <si>
    <t>GFA-420</t>
  </si>
  <si>
    <t>Long Island quartz monzonite</t>
  </si>
  <si>
    <t>1802 +13/-7</t>
  </si>
  <si>
    <t>Kaipokok/Aillik domain, Makkovik Prov.</t>
  </si>
  <si>
    <t>1746 ± 2</t>
  </si>
  <si>
    <t>Kerr et al. (1992); Gandhi et al. (1988)</t>
  </si>
  <si>
    <t>GSZ-3</t>
  </si>
  <si>
    <t>Deus Cape monzogranite</t>
  </si>
  <si>
    <t>1837 +12/-8</t>
  </si>
  <si>
    <t>AKZ-14</t>
  </si>
  <si>
    <t>AKZ-14, 9001</t>
  </si>
  <si>
    <t>Cape Strawberry granite</t>
  </si>
  <si>
    <t>1719 ± 3</t>
  </si>
  <si>
    <t>9001-1, 9002-2</t>
  </si>
  <si>
    <t>Two fractions each from two samples; 9001 is most concordant</t>
  </si>
  <si>
    <t>AKZ-1</t>
  </si>
  <si>
    <t>Adlavik Intrusive Suite monzonite</t>
  </si>
  <si>
    <t>1649 ± 1</t>
  </si>
  <si>
    <t>Two fo five fractions concordant</t>
  </si>
  <si>
    <t>0242144</t>
  </si>
  <si>
    <t>Mount Benedict Intrusive suite syenite and syenomonzonite</t>
  </si>
  <si>
    <t>1649 ± 3</t>
  </si>
  <si>
    <t>2125-1, 2125-2, 2144-2</t>
  </si>
  <si>
    <t>Regression includes two fractions from 0242125</t>
  </si>
  <si>
    <t>ca. 344</t>
  </si>
  <si>
    <t>Regression includes two fractions from 0242125; Long extrapolation to L.I.</t>
  </si>
  <si>
    <t>AKZ-8</t>
  </si>
  <si>
    <t>Otter Lake - Walker Lake porphyritic monzogranite</t>
  </si>
  <si>
    <t>1647 ± 2</t>
  </si>
  <si>
    <t>AKZ-12</t>
  </si>
  <si>
    <t>Monkey Hill Intrusive suite granite</t>
  </si>
  <si>
    <t>Regression of two fractions give negative L.I.; Pb/Pb age of most concordant fraction is 1641 Ma</t>
  </si>
  <si>
    <t>HSZ-1</t>
  </si>
  <si>
    <t>Numok Intrusive Suite quartz monzonite</t>
  </si>
  <si>
    <t>1802 +8/-2</t>
  </si>
  <si>
    <t>1, 2 and AKZ-5-1</t>
  </si>
  <si>
    <t>Regression in concordia diagram includes concordant zircon from AZK-5a, and L.I. of ca. 649 Ma</t>
  </si>
  <si>
    <t>CG07-130</t>
  </si>
  <si>
    <t>CG07-130A</t>
  </si>
  <si>
    <t>Battle Island cross-bedded psammite</t>
  </si>
  <si>
    <t>&lt;1204 ± 2</t>
  </si>
  <si>
    <t>Deposition (max age)</t>
  </si>
  <si>
    <t>Kamo et al. (2011)</t>
  </si>
  <si>
    <t>Other fractions gave Pb/Pb ages of 2131 ± 2, 1599 ± 4, 1487 ± 2 Ma</t>
  </si>
  <si>
    <t>CG07-132</t>
  </si>
  <si>
    <t>CG07-132B</t>
  </si>
  <si>
    <t>Battle Island amphibolite</t>
  </si>
  <si>
    <t>1030 ± 4</t>
  </si>
  <si>
    <t>CG07-138</t>
  </si>
  <si>
    <t>CG07-138A</t>
  </si>
  <si>
    <t>Battle Island amazonite pegmatite</t>
  </si>
  <si>
    <t>1024 ± 3</t>
  </si>
  <si>
    <t>CG07-138B</t>
  </si>
  <si>
    <t>Battle Island later pegmatite</t>
  </si>
  <si>
    <t>&lt;1120</t>
  </si>
  <si>
    <t>Pb/Pb ages from 4 fractions are 1784 ± 2.2, 1701 ± 2.2, 1208 ± 3, 1120, ± 2 (all &lt;1.4% discordant)</t>
  </si>
  <si>
    <t>VN93-662</t>
  </si>
  <si>
    <t>VN93-662E</t>
  </si>
  <si>
    <t>York Point K-fs megacrystic granite</t>
  </si>
  <si>
    <t>1489 ± 2</t>
  </si>
  <si>
    <t>SK21P37, SK21P40</t>
  </si>
  <si>
    <t>Kamo and Hamilton (2007)</t>
  </si>
  <si>
    <t>Weighted mean of two concordant points</t>
  </si>
  <si>
    <t>0242125</t>
  </si>
  <si>
    <t>Regression includes one fraction from 0242144</t>
  </si>
  <si>
    <t>Regression includes one fraction from 0242144; Long extrapolation to L.I.</t>
  </si>
  <si>
    <t>DJ99-015</t>
  </si>
  <si>
    <t>Joir River Granite</t>
  </si>
  <si>
    <t>10, 11, 12</t>
  </si>
  <si>
    <t>James et al. (2001)</t>
  </si>
  <si>
    <t>James et al. (2001) reported this age as 963.8 ± 3.2 Ma</t>
  </si>
  <si>
    <t>957-935</t>
  </si>
  <si>
    <t>Three dates, errors not reported; Pb206/U238 results..</t>
  </si>
  <si>
    <t>284 ± 83</t>
  </si>
  <si>
    <t>9, 10, 11</t>
  </si>
  <si>
    <t>1718</t>
  </si>
  <si>
    <t>27</t>
  </si>
  <si>
    <t>1621 ± 1</t>
  </si>
  <si>
    <t>44</t>
  </si>
  <si>
    <t>1613 ± 2</t>
  </si>
  <si>
    <t>CG85-654B, -654A</t>
  </si>
  <si>
    <t>Shoal Bay tonalite-granodiorite gneiss</t>
  </si>
  <si>
    <t>1615 +34/-9</t>
  </si>
  <si>
    <t>20, 21, 24</t>
  </si>
  <si>
    <t>Regression through points 20, 21, and 24; age not shown on concordia diagram</t>
  </si>
  <si>
    <t>1478 - 1463</t>
  </si>
  <si>
    <t>20, 21, 22</t>
  </si>
  <si>
    <t>Not shown on concrdia diagram. If regressed with 974 titanite, U.I. is 1511 ± 6 Ma</t>
  </si>
  <si>
    <t>ca. 220</t>
  </si>
  <si>
    <t>1037 ± 19</t>
  </si>
  <si>
    <t>1703 ± 15</t>
  </si>
  <si>
    <t>Regression anchored at 1037 ± 19 Ma from CG92-066A and CG92-065D (age not labelled on concrdia diagram).</t>
  </si>
  <si>
    <t>L.I. for a regression from ca. 1790 ma through single monazite analysis</t>
  </si>
  <si>
    <t>69 ± 81</t>
  </si>
  <si>
    <t>L.I. not shown on discordia diagram</t>
  </si>
  <si>
    <t>ca. 455</t>
  </si>
  <si>
    <t>1500 ± 340</t>
  </si>
  <si>
    <t>960 +154/-169</t>
  </si>
  <si>
    <t>ca. 649</t>
  </si>
  <si>
    <t>Regression in concordia diagram includes concordant zircon from AZK-5a</t>
  </si>
  <si>
    <t>2653 ± 37</t>
  </si>
  <si>
    <t>ca. 440</t>
  </si>
  <si>
    <t>758 +350/-320</t>
  </si>
  <si>
    <t>EC95-086</t>
  </si>
  <si>
    <t>Mealy dyke</t>
  </si>
  <si>
    <t>1250 ± 1</t>
  </si>
  <si>
    <t>Upper, Lower, lower with a long projection</t>
  </si>
  <si>
    <t>Hamilton and Emslie (1997)</t>
  </si>
  <si>
    <t>2067 ± 28</t>
  </si>
  <si>
    <t>Long projection to U.I.</t>
  </si>
  <si>
    <t>V-192</t>
  </si>
  <si>
    <t>Pigeon Island K-fs megacrystic granodiorite</t>
  </si>
  <si>
    <t>1678 +24/-14</t>
  </si>
  <si>
    <t>28,29</t>
  </si>
  <si>
    <t>Fraction 29 plots above concordia; mean Pb/U age is 1709 ± 10 Ma</t>
  </si>
  <si>
    <t>1046 ± 12</t>
  </si>
  <si>
    <t>Fraction 29 plots above concordia; mean Pb/U age is 1709 ± 10 Ma. L.I. not shown on concordia diagram.</t>
  </si>
  <si>
    <t>V333</t>
  </si>
  <si>
    <t>White Cockade Island granite gneiss</t>
  </si>
  <si>
    <t>1726 ± 34</t>
  </si>
  <si>
    <t>30</t>
  </si>
  <si>
    <t>CG03-288</t>
  </si>
  <si>
    <t>CG03-288E</t>
  </si>
  <si>
    <t>Road Belt felsic volcanic/psammitic gneiss</t>
  </si>
  <si>
    <t>1056.8 ± 1.7</t>
  </si>
  <si>
    <t>Kamo (2011, unpublished report)</t>
  </si>
  <si>
    <t>CG11-003</t>
  </si>
  <si>
    <t>CG11-003A</t>
  </si>
  <si>
    <t>Central Labrador</t>
  </si>
  <si>
    <t>Dome Mountain Intrusive Suite granite</t>
  </si>
  <si>
    <t>1641± 3</t>
  </si>
  <si>
    <t>Z4</t>
  </si>
  <si>
    <t>Kamo (2012, unpublished report)</t>
  </si>
  <si>
    <t>CG07-023</t>
  </si>
  <si>
    <t>Pinware terrane granite</t>
  </si>
  <si>
    <t>1481± 11</t>
  </si>
  <si>
    <t>Z2, Z3, Z4</t>
  </si>
  <si>
    <t>CG07-027</t>
  </si>
  <si>
    <t>Pinware-Mealy Mtn terrane border granite</t>
  </si>
  <si>
    <t>1491 +11/-9</t>
  </si>
  <si>
    <t>1710 ± 3</t>
  </si>
  <si>
    <t>Z1</t>
  </si>
  <si>
    <t>1685 ± 4</t>
  </si>
  <si>
    <t>Z2</t>
  </si>
  <si>
    <t>Unlabelled point Z2 on diagram</t>
  </si>
  <si>
    <t>985 ± 37</t>
  </si>
  <si>
    <t>1060 ± 409</t>
  </si>
  <si>
    <t>GS-08-288</t>
  </si>
  <si>
    <t>Aillik Group crystal-rich lithic tuff</t>
  </si>
  <si>
    <t>140 ±310</t>
  </si>
  <si>
    <t>Makkovik Province</t>
  </si>
  <si>
    <t>A1, A2, B1, B2</t>
  </si>
  <si>
    <t>Sparkes and Davis (2013)</t>
  </si>
  <si>
    <t>W-103A</t>
  </si>
  <si>
    <t>Aillik Group, rhyolite, Rangers Bight</t>
  </si>
  <si>
    <t>1861 +9/-3</t>
  </si>
  <si>
    <t>Schärer et al. (1988)</t>
  </si>
  <si>
    <t>W-152</t>
  </si>
  <si>
    <t>White Bear Mountain rhyolite</t>
  </si>
  <si>
    <t>1807 ± 3</t>
  </si>
  <si>
    <t>8, 9, 10, 11</t>
  </si>
  <si>
    <t>CG09-016</t>
  </si>
  <si>
    <t>CG09-016A</t>
  </si>
  <si>
    <t>Mealy Mountains IS Etagaulet massif graphic granitoid pod</t>
  </si>
  <si>
    <t>1654 ± 8</t>
  </si>
  <si>
    <t>Bybee et al. (in prep.)</t>
  </si>
  <si>
    <t>CG09-026</t>
  </si>
  <si>
    <t>CG09-026B</t>
  </si>
  <si>
    <t>1647 ± 6</t>
  </si>
  <si>
    <t>CG09-033</t>
  </si>
  <si>
    <t>CG09-033B</t>
  </si>
  <si>
    <t>1638 ± 6</t>
  </si>
  <si>
    <t>Z1, Z3,  Z5, Z6</t>
  </si>
  <si>
    <t>One point off regression line</t>
  </si>
  <si>
    <t>CG09-018</t>
  </si>
  <si>
    <t>CG09-018D</t>
  </si>
  <si>
    <t>1632.8 ± 1.8</t>
  </si>
  <si>
    <t>Z1, Z2, Z4, Z5</t>
  </si>
  <si>
    <t>CG09-021</t>
  </si>
  <si>
    <t>Mealy Mountains iS Etagaulet massif leuconorite</t>
  </si>
  <si>
    <t>1628 ± 3.5</t>
  </si>
  <si>
    <t>1099 ± 80</t>
  </si>
  <si>
    <t>1081 ± 120</t>
  </si>
  <si>
    <t>1138 ± 15</t>
  </si>
  <si>
    <t>106 ± 180</t>
  </si>
  <si>
    <t>1119 ± 39</t>
  </si>
  <si>
    <t>08CL198A-03</t>
  </si>
  <si>
    <t>Aillik Group, lithic felsic tuff</t>
  </si>
  <si>
    <t>1852 ± 7</t>
  </si>
  <si>
    <t>21 analyses</t>
  </si>
  <si>
    <t>LaFlamme et al. (2013)</t>
  </si>
  <si>
    <t>207Pb/206Pb SHRIMP date</t>
  </si>
  <si>
    <t>08CL199A-03</t>
  </si>
  <si>
    <t>Cross Lake foliated hornblende biotite granite</t>
  </si>
  <si>
    <t>1805 ± 6</t>
  </si>
  <si>
    <t>23 anallyses</t>
  </si>
  <si>
    <t>08CL452A-03</t>
  </si>
  <si>
    <t>Aillik Group, crystal-lithic felsic tuff</t>
  </si>
  <si>
    <t>1862 ± 7</t>
  </si>
  <si>
    <t>17 analyses</t>
  </si>
  <si>
    <t>08CL453A-03</t>
  </si>
  <si>
    <t>Aillik Group, crystal felsic tuff</t>
  </si>
  <si>
    <t>1861 ± 7</t>
  </si>
  <si>
    <t>22 analyses</t>
  </si>
  <si>
    <t>08CL458A-03</t>
  </si>
  <si>
    <t>1854 ± 7</t>
  </si>
  <si>
    <t>Aillik Group, Crystal-rich lapilli tuff</t>
  </si>
  <si>
    <t>1855.2 ± 1.4</t>
  </si>
  <si>
    <t>Sparkes et al. (2013)</t>
  </si>
  <si>
    <t>06AH310A/03</t>
  </si>
  <si>
    <t>Aillik Group, rhyolite</t>
  </si>
  <si>
    <t>1858 ± 6</t>
  </si>
  <si>
    <t>Hinchey and Rayner (2008)</t>
  </si>
  <si>
    <t>06AH429A/03</t>
  </si>
  <si>
    <t>1883 ± 7</t>
  </si>
  <si>
    <t>06AH456A/03</t>
  </si>
  <si>
    <t>Aillik Group, felsic tuff</t>
  </si>
  <si>
    <t>1876 ± 6</t>
  </si>
  <si>
    <t>W-138</t>
  </si>
  <si>
    <t>Aillik Group, rhyolite, Michelin ridge</t>
  </si>
  <si>
    <t>1856 ± 2</t>
  </si>
  <si>
    <t>12, 13, 14, 15</t>
  </si>
  <si>
    <t>GS-08-287</t>
  </si>
  <si>
    <t>Kitts metagabbro</t>
  </si>
  <si>
    <t>2018 +15/-8</t>
  </si>
  <si>
    <t>Sparkes and Dunning (2015)</t>
  </si>
  <si>
    <t>GS-08-215</t>
  </si>
  <si>
    <t>Aillik Group, Michelin host volcanic rocks</t>
  </si>
  <si>
    <t>1858 ± 2</t>
  </si>
  <si>
    <t>1609 ± 25</t>
  </si>
  <si>
    <t>T1, T2</t>
  </si>
  <si>
    <t>1035 ± 10</t>
  </si>
  <si>
    <t>T4, T5</t>
  </si>
  <si>
    <t>1003 ± 4</t>
  </si>
  <si>
    <t>T6, T7, &amp;8</t>
  </si>
  <si>
    <t>982 ± 3</t>
  </si>
  <si>
    <t>T9, T10</t>
  </si>
  <si>
    <t>GS-08-204</t>
  </si>
  <si>
    <t>Michelin footwall granodiorite</t>
  </si>
  <si>
    <t>1644 ± 4</t>
  </si>
  <si>
    <t>Zircon,Ttitanite</t>
  </si>
  <si>
    <t>Z1, T!, T2, T3, T4, T5, T6</t>
  </si>
  <si>
    <t>GS-08-229</t>
  </si>
  <si>
    <t>Jacques Lake footwall granodiorite</t>
  </si>
  <si>
    <t>1798 ± 2</t>
  </si>
  <si>
    <t>Z1, Z2, Z3, T!, T2, T3</t>
  </si>
  <si>
    <t>GS-08-235</t>
  </si>
  <si>
    <t>Aillik Group, Jacques Lake host volcanic rock</t>
  </si>
  <si>
    <t>ca. 1792</t>
  </si>
  <si>
    <t>1781 ± 10</t>
  </si>
  <si>
    <t>T2, T3, T4</t>
  </si>
  <si>
    <t>GS-07-225</t>
  </si>
  <si>
    <t>Aillik Group, Jacques Lake porphyry dyke</t>
  </si>
  <si>
    <t>1801 ± 0.9</t>
  </si>
  <si>
    <t>Zircon,Titanite</t>
  </si>
  <si>
    <t>Z1, Z2, Z3, Z4, Z5, Z6, T1, T2, T3</t>
  </si>
  <si>
    <t>Sparkes and Dunning (2009)</t>
  </si>
  <si>
    <t>GS-07-298</t>
  </si>
  <si>
    <t>Kitts quartz-feldspar porphyry dyke</t>
  </si>
  <si>
    <t>1881.8 ± 3.4</t>
  </si>
  <si>
    <t>Sparkes et al. (2010)</t>
  </si>
  <si>
    <t>SHRIMP</t>
  </si>
  <si>
    <t>GS-07-170</t>
  </si>
  <si>
    <t>Kitts diorite dyke</t>
  </si>
  <si>
    <t>1662 ± 4</t>
  </si>
  <si>
    <t>T1, T2, T3, T4</t>
  </si>
  <si>
    <t>Min age of U mineralization</t>
  </si>
  <si>
    <t>No_samplenum1</t>
  </si>
  <si>
    <t>October Harbour granite</t>
  </si>
  <si>
    <t>1657 ± 10</t>
  </si>
  <si>
    <t>Cox et al. (2003)</t>
  </si>
  <si>
    <t>No sample number given; LAM-ICP-Ms; co-ordinates may not be exact</t>
  </si>
  <si>
    <t>No_samplenum2</t>
  </si>
  <si>
    <t>1635 ± 17</t>
  </si>
  <si>
    <t>Emplacement - post</t>
  </si>
  <si>
    <t>08AH247A03</t>
  </si>
  <si>
    <t>Measles Point granite</t>
  </si>
  <si>
    <t>1873 ± 10</t>
  </si>
  <si>
    <t>Hinchey and Davis (2013)</t>
  </si>
  <si>
    <t>SHRIMP; coordinates incorrect in publication. cf. Sinclair et al. (2002) for correct location</t>
  </si>
  <si>
    <t>1787 ± 5.6</t>
  </si>
  <si>
    <t>96MKJ-64</t>
  </si>
  <si>
    <t>Antons Island quartz diorite</t>
  </si>
  <si>
    <t>1886 +5/-3</t>
  </si>
  <si>
    <t>Kaipokok domain, Makkovik Prov.</t>
  </si>
  <si>
    <t>Ketchum et al. (2001a)</t>
  </si>
  <si>
    <t>1866 ± 2</t>
  </si>
  <si>
    <t>1860 ± 4</t>
  </si>
  <si>
    <t>1813 ± 4</t>
  </si>
  <si>
    <t>T3</t>
  </si>
  <si>
    <t>96MKJ-63</t>
  </si>
  <si>
    <t>Abels Harbour granite</t>
  </si>
  <si>
    <t>1880 ± 2</t>
  </si>
  <si>
    <t>Z1, Z2, Z3, Z4, Z5, M1, M2</t>
  </si>
  <si>
    <t>1755 ± 5</t>
  </si>
  <si>
    <t>95MKJ-99a</t>
  </si>
  <si>
    <t>Kanairiktok shear zone porphyritic granodiorite</t>
  </si>
  <si>
    <t>1872 ± 4</t>
  </si>
  <si>
    <t>Z8</t>
  </si>
  <si>
    <t>95MKJ-98a</t>
  </si>
  <si>
    <t>Kanairiktok shear zone pegmatite dyke</t>
  </si>
  <si>
    <t>1870 ± 2</t>
  </si>
  <si>
    <t>M1, M2, M4</t>
  </si>
  <si>
    <t>96MKJ-61a</t>
  </si>
  <si>
    <t>Drunken Harbour porphyritic granite</t>
  </si>
  <si>
    <t>1791 +9/-2</t>
  </si>
  <si>
    <t>96MKJ-62</t>
  </si>
  <si>
    <t>Blackers Bight granite</t>
  </si>
  <si>
    <t>1716 ± 1</t>
  </si>
  <si>
    <t>Z1, Z2, M1, M2</t>
  </si>
  <si>
    <t>94MKJ-25a</t>
  </si>
  <si>
    <t>94MKJ-25a (sample 1)</t>
  </si>
  <si>
    <t>Kikkertavak metadiabase dyke</t>
  </si>
  <si>
    <t>1896 ± 6</t>
  </si>
  <si>
    <t>Ketchum et al. (1997)</t>
  </si>
  <si>
    <t>Co-ordinates are not exact</t>
  </si>
  <si>
    <t>T2, T4</t>
  </si>
  <si>
    <t>1822 ± 9</t>
  </si>
  <si>
    <t>94MKJ-49e</t>
  </si>
  <si>
    <t>94MKJ-49e (sample 2)</t>
  </si>
  <si>
    <t>Kaipokok Bay foliated biotite granodiorite</t>
  </si>
  <si>
    <t>1882 +10/-6</t>
  </si>
  <si>
    <t>1817 ± 2</t>
  </si>
  <si>
    <t>94MKJ-56d</t>
  </si>
  <si>
    <t>94MKJ-56d (sample 3)</t>
  </si>
  <si>
    <t>Post Hill megacrystic quartz monzonite</t>
  </si>
  <si>
    <t>1877 ± 5</t>
  </si>
  <si>
    <t>Z5</t>
  </si>
  <si>
    <t>1866 ± 3</t>
  </si>
  <si>
    <t>1854 ±3</t>
  </si>
  <si>
    <t>1807 ± 10</t>
  </si>
  <si>
    <t>T3, T4</t>
  </si>
  <si>
    <t>94MKJ-27b</t>
  </si>
  <si>
    <t>94MKJ-27b (sample 4)</t>
  </si>
  <si>
    <t>Drunken Harbour foliated megacrystic biotite granite</t>
  </si>
  <si>
    <t>1871 +4/-3</t>
  </si>
  <si>
    <t>1859 ± 3</t>
  </si>
  <si>
    <t>Corcordant</t>
  </si>
  <si>
    <t>1854 ± 3</t>
  </si>
  <si>
    <t>1847 ± 3</t>
  </si>
  <si>
    <t>1744 ± 5</t>
  </si>
  <si>
    <t>94MKJ-16b</t>
  </si>
  <si>
    <t>94MKJ-16b (sample 5)</t>
  </si>
  <si>
    <t>Drunken Harbour sillimanite pelitic gneiss</t>
  </si>
  <si>
    <t>1871 ± 3</t>
  </si>
  <si>
    <t>M1, M5</t>
  </si>
  <si>
    <t>1865 ± 2</t>
  </si>
  <si>
    <t>1841 ± 2</t>
  </si>
  <si>
    <t>M2, M3</t>
  </si>
  <si>
    <t>94MKJ-49d</t>
  </si>
  <si>
    <t>94MKJ-49d (sample 6)</t>
  </si>
  <si>
    <t>Iggiuk Bight granitic vein</t>
  </si>
  <si>
    <t>1811 ± 8</t>
  </si>
  <si>
    <t>1769 ± 2</t>
  </si>
  <si>
    <t>94MKJ-63a</t>
  </si>
  <si>
    <t>94MKJ-63a (sample 7)</t>
  </si>
  <si>
    <t>Salmon Pond mafic semipelitic paragneiss</t>
  </si>
  <si>
    <t>1801 +3/-2</t>
  </si>
  <si>
    <t>Z1, Z2, Z3, M1, M2</t>
  </si>
  <si>
    <t>94MKJ-51a</t>
  </si>
  <si>
    <t>94MKJ-51a (sample 8)</t>
  </si>
  <si>
    <t>Kaipokok Bay granitic pegmatite dyke</t>
  </si>
  <si>
    <t>1784 ± 1</t>
  </si>
  <si>
    <t>Monazite, Titanite</t>
  </si>
  <si>
    <t>M2, M3, M4, T2</t>
  </si>
  <si>
    <t>W-083</t>
  </si>
  <si>
    <t>Iggiuk Bight migmatite gneiss</t>
  </si>
  <si>
    <t>1761 ± 2</t>
  </si>
  <si>
    <t>W-050</t>
  </si>
  <si>
    <t>Kaipokok Bay leucogranite</t>
  </si>
  <si>
    <t>1794 ± 2</t>
  </si>
  <si>
    <t>9 MKN-82</t>
  </si>
  <si>
    <t>North of Post Hill migmatitic tonalitic gneiss</t>
  </si>
  <si>
    <t>2878 +27/-16</t>
  </si>
  <si>
    <t>Ketchum et al. (2001b)</t>
  </si>
  <si>
    <t>Sample # is as given in publication, but looks like an error</t>
  </si>
  <si>
    <t>94MKJ-27a</t>
  </si>
  <si>
    <t>Post Hill Group Drunken Harbour quartzite</t>
  </si>
  <si>
    <t>1828 ± 4</t>
  </si>
  <si>
    <t>1738 ± 3</t>
  </si>
  <si>
    <t>1726 ± 3</t>
  </si>
  <si>
    <t>94MKJ-118</t>
  </si>
  <si>
    <t>Post Hill Group intermediate tuff</t>
  </si>
  <si>
    <t>2178 ± 4</t>
  </si>
  <si>
    <t>Z1, Z4</t>
  </si>
  <si>
    <t>94MKN-74f</t>
  </si>
  <si>
    <t>Post Hill Group psammite</t>
  </si>
  <si>
    <t>2013 ± 3</t>
  </si>
  <si>
    <t>EE78-composite</t>
  </si>
  <si>
    <t>Island Harbour Bay plutonic suite</t>
  </si>
  <si>
    <t>1805 ± 5</t>
  </si>
  <si>
    <t>I1, I2, I3, I4, I5</t>
  </si>
  <si>
    <t>Loveridge (1987)</t>
  </si>
  <si>
    <t>T1, T2, T3</t>
  </si>
  <si>
    <t>FA71-04</t>
  </si>
  <si>
    <t>1449 ± 3</t>
  </si>
  <si>
    <t>490 ± 180</t>
  </si>
  <si>
    <t>1032 ±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</si>
</sst>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1" applyFont="1"/>
    <xf numFmtId="0" fontId="3" fillId="0" borderId="0" xfId="0" applyFont="1"/>
    <xf numFmtId="0" fontId="4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0"/>
  <sheetViews>
    <sheetView tabSelected="1" workbookViewId="0"/>
  </sheetViews>
  <sheetFormatPr defaultRowHeight="15" x14ac:dyDescent="0.25"/>
  <cols>
    <col min="1" max="1" width="16.140625" bestFit="1" customWidth="1"/>
    <col min="2" max="2" width="22" bestFit="1" customWidth="1"/>
    <col min="3" max="3" width="15.85546875" bestFit="1" customWidth="1"/>
    <col min="4" max="4" width="8.5703125" bestFit="1" customWidth="1"/>
    <col min="5" max="5" width="10.140625" bestFit="1" customWidth="1"/>
    <col min="6" max="6" width="9.42578125" bestFit="1" customWidth="1"/>
    <col min="7" max="7" width="7" bestFit="1" customWidth="1"/>
    <col min="8" max="8" width="11.42578125" bestFit="1" customWidth="1"/>
    <col min="9" max="9" width="56.5703125" bestFit="1" customWidth="1"/>
    <col min="10" max="10" width="14.140625" bestFit="1" customWidth="1"/>
    <col min="11" max="11" width="10.85546875" bestFit="1" customWidth="1"/>
    <col min="12" max="12" width="37" bestFit="1" customWidth="1"/>
    <col min="13" max="13" width="18.42578125" bestFit="1" customWidth="1"/>
    <col min="14" max="14" width="39.7109375" bestFit="1" customWidth="1"/>
    <col min="15" max="15" width="27.5703125" bestFit="1" customWidth="1"/>
    <col min="16" max="16" width="28.140625" bestFit="1" customWidth="1"/>
    <col min="17" max="17" width="45.28515625" bestFit="1" customWidth="1"/>
    <col min="18" max="18" width="55.5703125" style="3" bestFit="1" customWidth="1"/>
    <col min="19" max="19" width="174.42578125" bestFit="1" customWidth="1"/>
  </cols>
  <sheetData>
    <row r="1" spans="1:19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1" t="s">
        <v>18</v>
      </c>
    </row>
    <row r="2" spans="1:19" x14ac:dyDescent="0.25">
      <c r="A2" t="s">
        <v>19</v>
      </c>
      <c r="B2" t="s">
        <v>20</v>
      </c>
      <c r="C2" t="s">
        <v>21</v>
      </c>
      <c r="D2">
        <v>494265</v>
      </c>
      <c r="E2">
        <v>5882723</v>
      </c>
      <c r="F2">
        <v>21</v>
      </c>
      <c r="G2" t="s">
        <v>22</v>
      </c>
      <c r="H2" t="s">
        <v>23</v>
      </c>
      <c r="I2" t="s">
        <v>24</v>
      </c>
      <c r="J2" t="s">
        <v>25</v>
      </c>
      <c r="K2">
        <v>1650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s="2" t="str">
        <f>HYPERLINK("..\..\Imagery\ScannedGeochron\UPb\Kamo1996Fig12.jpg")</f>
        <v>..\..\Imagery\ScannedGeochron\UPb\Kamo1996Fig12.jpg</v>
      </c>
      <c r="S2" t="s">
        <v>32</v>
      </c>
    </row>
    <row r="3" spans="1:19" x14ac:dyDescent="0.25">
      <c r="A3" t="s">
        <v>33</v>
      </c>
      <c r="B3" t="s">
        <v>33</v>
      </c>
      <c r="C3" t="s">
        <v>21</v>
      </c>
      <c r="D3">
        <v>479662</v>
      </c>
      <c r="E3">
        <v>5935245</v>
      </c>
      <c r="F3">
        <v>21</v>
      </c>
      <c r="G3" t="s">
        <v>22</v>
      </c>
      <c r="I3" t="s">
        <v>34</v>
      </c>
      <c r="J3" t="s">
        <v>35</v>
      </c>
      <c r="K3">
        <v>1654</v>
      </c>
      <c r="L3" t="s">
        <v>26</v>
      </c>
      <c r="M3" t="s">
        <v>36</v>
      </c>
      <c r="N3" t="s">
        <v>37</v>
      </c>
      <c r="O3" t="s">
        <v>38</v>
      </c>
      <c r="P3" t="s">
        <v>39</v>
      </c>
      <c r="Q3" t="s">
        <v>40</v>
      </c>
      <c r="R3" s="3" t="str">
        <f>HYPERLINK("..\..\Imagery\ScannedGeochron\UPb\Scha1988Fig2b.jpg")</f>
        <v>..\..\Imagery\ScannedGeochron\UPb\Scha1988Fig2b.jpg</v>
      </c>
      <c r="S3" t="s">
        <v>41</v>
      </c>
    </row>
    <row r="4" spans="1:19" x14ac:dyDescent="0.25">
      <c r="A4" t="s">
        <v>42</v>
      </c>
      <c r="B4" t="s">
        <v>43</v>
      </c>
      <c r="C4" t="s">
        <v>21</v>
      </c>
      <c r="D4">
        <v>580273</v>
      </c>
      <c r="E4">
        <v>5900047</v>
      </c>
      <c r="F4">
        <v>21</v>
      </c>
      <c r="G4" t="s">
        <v>22</v>
      </c>
      <c r="H4" t="s">
        <v>23</v>
      </c>
      <c r="I4" t="s">
        <v>44</v>
      </c>
      <c r="J4" t="s">
        <v>45</v>
      </c>
      <c r="K4">
        <v>1662</v>
      </c>
      <c r="L4" t="s">
        <v>26</v>
      </c>
      <c r="M4" t="s">
        <v>36</v>
      </c>
      <c r="N4" t="s">
        <v>28</v>
      </c>
      <c r="O4" t="s">
        <v>46</v>
      </c>
      <c r="P4" t="s">
        <v>30</v>
      </c>
      <c r="Q4" t="s">
        <v>31</v>
      </c>
      <c r="R4" s="3" t="str">
        <f>HYPERLINK("..\..\Imagery\ScannedGeochron\UPb\Kamo1996Fig6.jpg")</f>
        <v>..\..\Imagery\ScannedGeochron\UPb\Kamo1996Fig6.jpg</v>
      </c>
      <c r="S4" t="s">
        <v>47</v>
      </c>
    </row>
    <row r="5" spans="1:19" x14ac:dyDescent="0.25">
      <c r="A5" t="s">
        <v>48</v>
      </c>
      <c r="B5" t="s">
        <v>49</v>
      </c>
      <c r="C5" t="s">
        <v>21</v>
      </c>
      <c r="D5">
        <v>581927</v>
      </c>
      <c r="E5">
        <v>5899392</v>
      </c>
      <c r="F5">
        <v>21</v>
      </c>
      <c r="G5" t="s">
        <v>22</v>
      </c>
      <c r="I5" t="s">
        <v>50</v>
      </c>
      <c r="J5" t="s">
        <v>51</v>
      </c>
      <c r="K5">
        <v>1663</v>
      </c>
      <c r="L5" t="s">
        <v>26</v>
      </c>
      <c r="M5" t="s">
        <v>36</v>
      </c>
      <c r="N5" t="s">
        <v>28</v>
      </c>
      <c r="O5" t="s">
        <v>52</v>
      </c>
      <c r="P5" t="s">
        <v>30</v>
      </c>
      <c r="Q5" t="s">
        <v>40</v>
      </c>
      <c r="R5" s="3" t="str">
        <f>HYPERLINK("..\..\Imagery\ScannedGeochron\UPb\Scha1988Fig3b.jpg")</f>
        <v>..\..\Imagery\ScannedGeochron\UPb\Scha1988Fig3b.jpg</v>
      </c>
      <c r="S5" t="s">
        <v>53</v>
      </c>
    </row>
    <row r="6" spans="1:19" x14ac:dyDescent="0.25">
      <c r="A6" t="s">
        <v>54</v>
      </c>
      <c r="B6" t="s">
        <v>55</v>
      </c>
      <c r="C6" t="s">
        <v>21</v>
      </c>
      <c r="D6">
        <v>579503</v>
      </c>
      <c r="E6">
        <v>5894184</v>
      </c>
      <c r="F6">
        <v>21</v>
      </c>
      <c r="G6" t="s">
        <v>22</v>
      </c>
      <c r="H6" t="s">
        <v>23</v>
      </c>
      <c r="I6" t="s">
        <v>56</v>
      </c>
      <c r="J6" t="s">
        <v>57</v>
      </c>
      <c r="K6">
        <v>1668</v>
      </c>
      <c r="L6" t="s">
        <v>26</v>
      </c>
      <c r="M6" t="s">
        <v>36</v>
      </c>
      <c r="N6" t="s">
        <v>58</v>
      </c>
      <c r="O6" t="s">
        <v>59</v>
      </c>
      <c r="P6" t="s">
        <v>30</v>
      </c>
      <c r="Q6" t="s">
        <v>40</v>
      </c>
      <c r="R6" s="3" t="str">
        <f>HYPERLINK("..\..\Imagery\ScannedGeochron\UPb\Scha1988Fig3a.jpg")</f>
        <v>..\..\Imagery\ScannedGeochron\UPb\Scha1988Fig3a.jpg</v>
      </c>
      <c r="S6" t="s">
        <v>60</v>
      </c>
    </row>
    <row r="7" spans="1:19" x14ac:dyDescent="0.25">
      <c r="A7" t="s">
        <v>42</v>
      </c>
      <c r="B7" t="s">
        <v>61</v>
      </c>
      <c r="C7" t="s">
        <v>21</v>
      </c>
      <c r="D7">
        <v>580273</v>
      </c>
      <c r="E7">
        <v>5900047</v>
      </c>
      <c r="F7">
        <v>21</v>
      </c>
      <c r="G7" t="s">
        <v>22</v>
      </c>
      <c r="H7" t="s">
        <v>23</v>
      </c>
      <c r="I7" t="s">
        <v>62</v>
      </c>
      <c r="J7" t="s">
        <v>63</v>
      </c>
      <c r="K7">
        <v>1671</v>
      </c>
      <c r="L7" t="s">
        <v>26</v>
      </c>
      <c r="M7" t="s">
        <v>36</v>
      </c>
      <c r="N7" t="s">
        <v>28</v>
      </c>
      <c r="O7" t="s">
        <v>64</v>
      </c>
      <c r="P7" t="s">
        <v>30</v>
      </c>
      <c r="Q7" t="s">
        <v>40</v>
      </c>
      <c r="R7" s="3" t="str">
        <f>HYPERLINK("..\..\Imagery\ScannedGeochron\UPb\Scha1988Fig3c.jpg")</f>
        <v>..\..\Imagery\ScannedGeochron\UPb\Scha1988Fig3c.jpg</v>
      </c>
    </row>
    <row r="8" spans="1:19" x14ac:dyDescent="0.25">
      <c r="A8" t="s">
        <v>65</v>
      </c>
      <c r="B8" t="s">
        <v>66</v>
      </c>
      <c r="C8" t="s">
        <v>21</v>
      </c>
      <c r="D8">
        <v>405080</v>
      </c>
      <c r="E8">
        <v>6000775</v>
      </c>
      <c r="F8">
        <v>21</v>
      </c>
      <c r="G8" t="s">
        <v>22</v>
      </c>
      <c r="I8" t="s">
        <v>67</v>
      </c>
      <c r="J8" t="s">
        <v>68</v>
      </c>
      <c r="K8">
        <v>1489</v>
      </c>
      <c r="L8" t="s">
        <v>69</v>
      </c>
      <c r="M8" t="s">
        <v>36</v>
      </c>
      <c r="N8" t="s">
        <v>58</v>
      </c>
      <c r="O8" t="s">
        <v>70</v>
      </c>
      <c r="P8" t="s">
        <v>30</v>
      </c>
      <c r="Q8" t="s">
        <v>71</v>
      </c>
      <c r="R8" s="3" t="str">
        <f>HYPERLINK("..\..\Imagery\ScannedGeochron\UPb\Corr2000Fig5a.jpg")</f>
        <v>..\..\Imagery\ScannedGeochron\UPb\Corr2000Fig5a.jpg</v>
      </c>
      <c r="S8" t="s">
        <v>72</v>
      </c>
    </row>
    <row r="9" spans="1:19" x14ac:dyDescent="0.25">
      <c r="A9" t="s">
        <v>73</v>
      </c>
      <c r="B9" t="s">
        <v>74</v>
      </c>
      <c r="C9" t="s">
        <v>21</v>
      </c>
      <c r="D9">
        <v>504835</v>
      </c>
      <c r="E9">
        <v>5970254</v>
      </c>
      <c r="F9">
        <v>21</v>
      </c>
      <c r="G9" t="s">
        <v>22</v>
      </c>
      <c r="H9" t="s">
        <v>23</v>
      </c>
      <c r="I9" t="s">
        <v>75</v>
      </c>
      <c r="J9" t="s">
        <v>76</v>
      </c>
      <c r="K9">
        <v>1426</v>
      </c>
      <c r="L9" t="s">
        <v>77</v>
      </c>
      <c r="M9" t="s">
        <v>36</v>
      </c>
      <c r="N9" t="s">
        <v>28</v>
      </c>
      <c r="O9" t="s">
        <v>78</v>
      </c>
      <c r="P9" t="s">
        <v>30</v>
      </c>
      <c r="Q9" t="s">
        <v>79</v>
      </c>
      <c r="R9" s="3" t="str">
        <f>HYPERLINK("..\..\Imagery\ScannedGeochron\UPb\Scha1986Fig6b.jpg")</f>
        <v>..\..\Imagery\ScannedGeochron\UPb\Scha1986Fig6b.jpg</v>
      </c>
      <c r="S9" t="s">
        <v>80</v>
      </c>
    </row>
    <row r="10" spans="1:19" x14ac:dyDescent="0.25">
      <c r="A10" t="s">
        <v>81</v>
      </c>
      <c r="B10" t="s">
        <v>82</v>
      </c>
      <c r="C10" t="s">
        <v>21</v>
      </c>
      <c r="D10">
        <v>421258</v>
      </c>
      <c r="E10">
        <v>6014622</v>
      </c>
      <c r="F10">
        <v>21</v>
      </c>
      <c r="G10" t="s">
        <v>22</v>
      </c>
      <c r="I10" t="s">
        <v>83</v>
      </c>
      <c r="J10" t="s">
        <v>84</v>
      </c>
      <c r="K10">
        <v>1472</v>
      </c>
      <c r="L10" t="s">
        <v>77</v>
      </c>
      <c r="M10" t="s">
        <v>27</v>
      </c>
      <c r="N10" t="s">
        <v>28</v>
      </c>
      <c r="O10" t="s">
        <v>85</v>
      </c>
      <c r="P10" t="s">
        <v>30</v>
      </c>
      <c r="Q10" t="s">
        <v>71</v>
      </c>
      <c r="R10" s="3" t="str">
        <f>HYPERLINK("..\..\Imagery\ScannedGeochron\UPb\Corr2000Fig6.jpg")</f>
        <v>..\..\Imagery\ScannedGeochron\UPb\Corr2000Fig6.jpg</v>
      </c>
      <c r="S10" t="s">
        <v>86</v>
      </c>
    </row>
    <row r="11" spans="1:19" x14ac:dyDescent="0.25">
      <c r="A11" t="s">
        <v>73</v>
      </c>
      <c r="B11" t="s">
        <v>87</v>
      </c>
      <c r="C11" t="s">
        <v>21</v>
      </c>
      <c r="D11">
        <v>504835</v>
      </c>
      <c r="E11">
        <v>5970254</v>
      </c>
      <c r="F11">
        <v>21</v>
      </c>
      <c r="G11" t="s">
        <v>22</v>
      </c>
      <c r="H11" t="s">
        <v>23</v>
      </c>
      <c r="I11" t="s">
        <v>88</v>
      </c>
      <c r="J11" t="s">
        <v>89</v>
      </c>
      <c r="K11">
        <v>1499</v>
      </c>
      <c r="L11" t="s">
        <v>77</v>
      </c>
      <c r="M11" t="s">
        <v>36</v>
      </c>
      <c r="N11" t="s">
        <v>28</v>
      </c>
      <c r="O11" t="s">
        <v>90</v>
      </c>
      <c r="P11" t="s">
        <v>30</v>
      </c>
      <c r="Q11" t="s">
        <v>79</v>
      </c>
      <c r="R11" s="3" t="str">
        <f>HYPERLINK("..\..\Imagery\ScannedGeochron\UPb\Scha1986Fig6a.jpg")</f>
        <v>..\..\Imagery\ScannedGeochron\UPb\Scha1986Fig6a.jpg</v>
      </c>
      <c r="S11" t="s">
        <v>91</v>
      </c>
    </row>
    <row r="12" spans="1:19" x14ac:dyDescent="0.25">
      <c r="A12" t="s">
        <v>92</v>
      </c>
      <c r="B12" t="s">
        <v>93</v>
      </c>
      <c r="C12" t="s">
        <v>21</v>
      </c>
      <c r="D12">
        <v>471486</v>
      </c>
      <c r="E12">
        <v>6004486</v>
      </c>
      <c r="F12">
        <v>21</v>
      </c>
      <c r="G12" t="s">
        <v>22</v>
      </c>
      <c r="H12" t="s">
        <v>23</v>
      </c>
      <c r="I12" t="s">
        <v>94</v>
      </c>
      <c r="J12" t="s">
        <v>95</v>
      </c>
      <c r="K12">
        <v>1587</v>
      </c>
      <c r="L12" t="s">
        <v>77</v>
      </c>
      <c r="M12" t="s">
        <v>36</v>
      </c>
      <c r="N12" t="s">
        <v>37</v>
      </c>
      <c r="O12" t="s">
        <v>96</v>
      </c>
      <c r="P12" t="s">
        <v>97</v>
      </c>
      <c r="Q12" t="s">
        <v>79</v>
      </c>
      <c r="R12" s="3" t="str">
        <f>HYPERLINK("..\..\Imagery\ScannedGeochron\UPb\Scha1986Fig4b.jpg")</f>
        <v>..\..\Imagery\ScannedGeochron\UPb\Scha1986Fig4b.jpg</v>
      </c>
      <c r="S12" t="s">
        <v>98</v>
      </c>
    </row>
    <row r="13" spans="1:19" x14ac:dyDescent="0.25">
      <c r="A13" t="s">
        <v>99</v>
      </c>
      <c r="B13" t="s">
        <v>100</v>
      </c>
      <c r="C13" t="s">
        <v>21</v>
      </c>
      <c r="D13">
        <v>484461</v>
      </c>
      <c r="E13">
        <v>6033363</v>
      </c>
      <c r="F13">
        <v>21</v>
      </c>
      <c r="G13" t="s">
        <v>22</v>
      </c>
      <c r="H13" t="s">
        <v>23</v>
      </c>
      <c r="I13" t="s">
        <v>101</v>
      </c>
      <c r="J13" t="s">
        <v>102</v>
      </c>
      <c r="K13">
        <v>1650</v>
      </c>
      <c r="L13" t="s">
        <v>77</v>
      </c>
      <c r="M13" t="s">
        <v>103</v>
      </c>
      <c r="N13" t="s">
        <v>104</v>
      </c>
      <c r="O13" t="s">
        <v>105</v>
      </c>
      <c r="P13" t="s">
        <v>39</v>
      </c>
      <c r="Q13" t="s">
        <v>106</v>
      </c>
      <c r="R13" s="3" t="str">
        <f>HYPERLINK("..\..\Imagery\ScannedGeochron\UPb\Krog2002Fig4b.jpg")</f>
        <v>..\..\Imagery\ScannedGeochron\UPb\Krog2002Fig4b.jpg</v>
      </c>
      <c r="S13" t="s">
        <v>107</v>
      </c>
    </row>
    <row r="14" spans="1:19" x14ac:dyDescent="0.25">
      <c r="A14" t="s">
        <v>108</v>
      </c>
      <c r="B14" t="s">
        <v>109</v>
      </c>
      <c r="C14" t="s">
        <v>21</v>
      </c>
      <c r="D14">
        <v>307977</v>
      </c>
      <c r="E14">
        <v>5987460</v>
      </c>
      <c r="F14">
        <v>21</v>
      </c>
      <c r="G14" t="s">
        <v>22</v>
      </c>
      <c r="I14" t="s">
        <v>110</v>
      </c>
      <c r="J14" t="s">
        <v>111</v>
      </c>
      <c r="K14">
        <v>1632</v>
      </c>
      <c r="L14" t="s">
        <v>77</v>
      </c>
      <c r="M14" t="s">
        <v>36</v>
      </c>
      <c r="N14" t="s">
        <v>28</v>
      </c>
      <c r="O14" t="s">
        <v>112</v>
      </c>
      <c r="P14" t="s">
        <v>30</v>
      </c>
      <c r="Q14" t="s">
        <v>79</v>
      </c>
      <c r="R14" s="3" t="str">
        <f>HYPERLINK("..\..\Imagery\ScannedGeochron\UPb\Scha1986Fig7b.jpg")</f>
        <v>..\..\Imagery\ScannedGeochron\UPb\Scha1986Fig7b.jpg</v>
      </c>
      <c r="S14" t="s">
        <v>113</v>
      </c>
    </row>
    <row r="15" spans="1:19" x14ac:dyDescent="0.25">
      <c r="A15" t="s">
        <v>114</v>
      </c>
      <c r="B15" t="s">
        <v>115</v>
      </c>
      <c r="C15" t="s">
        <v>21</v>
      </c>
      <c r="D15">
        <v>537273</v>
      </c>
      <c r="E15">
        <v>5961616</v>
      </c>
      <c r="F15">
        <v>21</v>
      </c>
      <c r="G15" t="s">
        <v>22</v>
      </c>
      <c r="I15" t="s">
        <v>116</v>
      </c>
      <c r="J15" t="s">
        <v>117</v>
      </c>
      <c r="K15">
        <v>1644</v>
      </c>
      <c r="L15" t="s">
        <v>77</v>
      </c>
      <c r="M15" t="s">
        <v>36</v>
      </c>
      <c r="N15" t="s">
        <v>104</v>
      </c>
      <c r="O15" t="s">
        <v>118</v>
      </c>
      <c r="P15" t="s">
        <v>30</v>
      </c>
      <c r="Q15" t="s">
        <v>31</v>
      </c>
      <c r="R15" s="3" t="str">
        <f>HYPERLINK("..\..\Imagery\ScannedGeochron\UPb\Kamo1996Fig3.jpg")</f>
        <v>..\..\Imagery\ScannedGeochron\UPb\Kamo1996Fig3.jpg</v>
      </c>
      <c r="S15" t="s">
        <v>119</v>
      </c>
    </row>
    <row r="16" spans="1:19" x14ac:dyDescent="0.25">
      <c r="A16" t="s">
        <v>120</v>
      </c>
      <c r="B16" t="s">
        <v>120</v>
      </c>
      <c r="C16" t="s">
        <v>21</v>
      </c>
      <c r="D16">
        <v>527372</v>
      </c>
      <c r="E16">
        <v>5944530</v>
      </c>
      <c r="F16">
        <v>21</v>
      </c>
      <c r="G16" t="s">
        <v>22</v>
      </c>
      <c r="I16" t="s">
        <v>121</v>
      </c>
      <c r="J16" t="s">
        <v>122</v>
      </c>
      <c r="K16">
        <v>1645</v>
      </c>
      <c r="L16" t="s">
        <v>77</v>
      </c>
      <c r="M16" t="s">
        <v>36</v>
      </c>
      <c r="N16" t="s">
        <v>104</v>
      </c>
      <c r="O16" t="s">
        <v>123</v>
      </c>
      <c r="P16" t="s">
        <v>30</v>
      </c>
      <c r="Q16" t="s">
        <v>31</v>
      </c>
      <c r="R16" s="3" t="str">
        <f>HYPERLINK("..\..\Imagery\ScannedGeochron\UPb\Kamo1996Fig4.jpg")</f>
        <v>..\..\Imagery\ScannedGeochron\UPb\Kamo1996Fig4.jpg</v>
      </c>
      <c r="S16" t="s">
        <v>124</v>
      </c>
    </row>
    <row r="17" spans="1:19" x14ac:dyDescent="0.25">
      <c r="A17" t="s">
        <v>99</v>
      </c>
      <c r="B17" t="s">
        <v>125</v>
      </c>
      <c r="C17" t="s">
        <v>21</v>
      </c>
      <c r="D17">
        <v>484461</v>
      </c>
      <c r="E17">
        <v>6033363</v>
      </c>
      <c r="F17">
        <v>21</v>
      </c>
      <c r="G17" t="s">
        <v>22</v>
      </c>
      <c r="H17" t="s">
        <v>23</v>
      </c>
      <c r="I17" t="s">
        <v>126</v>
      </c>
      <c r="J17" t="s">
        <v>127</v>
      </c>
      <c r="K17">
        <v>1647</v>
      </c>
      <c r="L17" t="s">
        <v>77</v>
      </c>
      <c r="M17" t="s">
        <v>36</v>
      </c>
      <c r="N17" t="s">
        <v>104</v>
      </c>
      <c r="O17" t="s">
        <v>128</v>
      </c>
      <c r="P17" t="s">
        <v>30</v>
      </c>
      <c r="Q17" t="s">
        <v>31</v>
      </c>
      <c r="R17" s="3" t="str">
        <f>HYPERLINK("..\..\Imagery\ScannedGeochron\UPb\Kamo1996Fig2.jpg")</f>
        <v>..\..\Imagery\ScannedGeochron\UPb\Kamo1996Fig2.jpg</v>
      </c>
      <c r="S17" t="s">
        <v>129</v>
      </c>
    </row>
    <row r="18" spans="1:19" x14ac:dyDescent="0.25">
      <c r="A18" t="s">
        <v>130</v>
      </c>
      <c r="B18" t="s">
        <v>130</v>
      </c>
      <c r="C18" t="s">
        <v>21</v>
      </c>
      <c r="D18">
        <v>460400</v>
      </c>
      <c r="E18">
        <v>6027550</v>
      </c>
      <c r="F18">
        <v>21</v>
      </c>
      <c r="G18" t="s">
        <v>22</v>
      </c>
      <c r="I18" t="s">
        <v>131</v>
      </c>
      <c r="J18" t="s">
        <v>132</v>
      </c>
      <c r="K18">
        <v>1649</v>
      </c>
      <c r="L18" t="s">
        <v>77</v>
      </c>
      <c r="M18" t="s">
        <v>36</v>
      </c>
      <c r="N18" t="s">
        <v>104</v>
      </c>
      <c r="O18" t="s">
        <v>133</v>
      </c>
      <c r="P18" t="s">
        <v>30</v>
      </c>
      <c r="Q18" t="s">
        <v>40</v>
      </c>
      <c r="R18" s="3" t="str">
        <f>HYPERLINK("..\..\Imagery\ScannedGeochron\UPb\Scha1988Fig2a.jpg")</f>
        <v>..\..\Imagery\ScannedGeochron\UPb\Scha1988Fig2a.jpg</v>
      </c>
      <c r="S18" t="s">
        <v>134</v>
      </c>
    </row>
    <row r="19" spans="1:19" x14ac:dyDescent="0.25">
      <c r="A19" t="s">
        <v>73</v>
      </c>
      <c r="B19" t="s">
        <v>135</v>
      </c>
      <c r="C19" t="s">
        <v>21</v>
      </c>
      <c r="D19">
        <v>504835</v>
      </c>
      <c r="E19">
        <v>5970254</v>
      </c>
      <c r="F19">
        <v>21</v>
      </c>
      <c r="G19" t="s">
        <v>22</v>
      </c>
      <c r="H19" t="s">
        <v>23</v>
      </c>
      <c r="I19" t="s">
        <v>136</v>
      </c>
      <c r="J19" t="s">
        <v>137</v>
      </c>
      <c r="K19">
        <v>1654</v>
      </c>
      <c r="L19" t="s">
        <v>77</v>
      </c>
      <c r="M19" t="s">
        <v>36</v>
      </c>
      <c r="N19" t="s">
        <v>104</v>
      </c>
      <c r="O19" t="s">
        <v>138</v>
      </c>
      <c r="P19" t="s">
        <v>30</v>
      </c>
      <c r="Q19" t="s">
        <v>79</v>
      </c>
      <c r="R19" s="3" t="str">
        <f>HYPERLINK("..\..\Imagery\ScannedGeochron\UPb\Scha1986Fig5a.jpg")</f>
        <v>..\..\Imagery\ScannedGeochron\UPb\Scha1986Fig5a.jpg</v>
      </c>
      <c r="S19" t="s">
        <v>80</v>
      </c>
    </row>
    <row r="20" spans="1:19" x14ac:dyDescent="0.25">
      <c r="A20" t="s">
        <v>73</v>
      </c>
      <c r="B20" t="s">
        <v>139</v>
      </c>
      <c r="C20" t="s">
        <v>21</v>
      </c>
      <c r="D20">
        <v>504835</v>
      </c>
      <c r="E20">
        <v>5970254</v>
      </c>
      <c r="F20">
        <v>21</v>
      </c>
      <c r="G20" t="s">
        <v>22</v>
      </c>
      <c r="H20" t="s">
        <v>23</v>
      </c>
      <c r="I20" t="s">
        <v>140</v>
      </c>
      <c r="J20" t="s">
        <v>141</v>
      </c>
      <c r="K20">
        <v>1658</v>
      </c>
      <c r="L20" t="s">
        <v>77</v>
      </c>
      <c r="M20" t="s">
        <v>36</v>
      </c>
      <c r="N20" t="s">
        <v>142</v>
      </c>
      <c r="O20" t="s">
        <v>143</v>
      </c>
      <c r="P20" t="s">
        <v>30</v>
      </c>
      <c r="Q20" t="s">
        <v>79</v>
      </c>
      <c r="R20" s="3" t="str">
        <f>HYPERLINK("..\..\Imagery\ScannedGeochron\UPb\Scha1986Fig5b.jpg")</f>
        <v>..\..\Imagery\ScannedGeochron\UPb\Scha1986Fig5b.jpg</v>
      </c>
      <c r="S20" t="s">
        <v>144</v>
      </c>
    </row>
    <row r="21" spans="1:19" x14ac:dyDescent="0.25">
      <c r="A21" t="s">
        <v>145</v>
      </c>
      <c r="B21" t="s">
        <v>146</v>
      </c>
      <c r="C21" t="s">
        <v>21</v>
      </c>
      <c r="D21">
        <v>490968</v>
      </c>
      <c r="E21">
        <v>6039407</v>
      </c>
      <c r="F21">
        <v>21</v>
      </c>
      <c r="G21" t="s">
        <v>22</v>
      </c>
      <c r="H21" t="s">
        <v>23</v>
      </c>
      <c r="I21" t="s">
        <v>147</v>
      </c>
      <c r="J21" t="s">
        <v>148</v>
      </c>
      <c r="K21">
        <v>1662</v>
      </c>
      <c r="L21" t="s">
        <v>77</v>
      </c>
      <c r="M21" t="s">
        <v>103</v>
      </c>
      <c r="N21" t="s">
        <v>28</v>
      </c>
      <c r="O21" t="s">
        <v>149</v>
      </c>
      <c r="P21" t="s">
        <v>39</v>
      </c>
      <c r="Q21" t="s">
        <v>106</v>
      </c>
      <c r="R21" s="3" t="str">
        <f>HYPERLINK("..\..\Imagery\ScannedGeochron\UPb\Krog2002Fig6.jpg")</f>
        <v>..\..\Imagery\ScannedGeochron\UPb\Krog2002Fig6.jpg</v>
      </c>
      <c r="S21" t="s">
        <v>150</v>
      </c>
    </row>
    <row r="22" spans="1:19" x14ac:dyDescent="0.25">
      <c r="A22" t="s">
        <v>151</v>
      </c>
      <c r="B22" t="s">
        <v>152</v>
      </c>
      <c r="C22" t="s">
        <v>21</v>
      </c>
      <c r="D22">
        <v>480915</v>
      </c>
      <c r="E22">
        <v>5931165</v>
      </c>
      <c r="F22">
        <v>21</v>
      </c>
      <c r="G22" t="s">
        <v>22</v>
      </c>
      <c r="H22" t="s">
        <v>23</v>
      </c>
      <c r="I22" t="s">
        <v>153</v>
      </c>
      <c r="J22" t="s">
        <v>154</v>
      </c>
      <c r="K22">
        <v>1671</v>
      </c>
      <c r="L22" t="s">
        <v>26</v>
      </c>
      <c r="M22" t="s">
        <v>36</v>
      </c>
      <c r="N22" t="s">
        <v>104</v>
      </c>
      <c r="O22" t="s">
        <v>155</v>
      </c>
      <c r="P22" t="s">
        <v>30</v>
      </c>
      <c r="Q22" t="s">
        <v>79</v>
      </c>
      <c r="R22" s="3" t="str">
        <f>HYPERLINK("..\..\Imagery\ScannedGeochron\UPb\Scha1986Fig7a.jpg")</f>
        <v>..\..\Imagery\ScannedGeochron\UPb\Scha1986Fig7a.jpg</v>
      </c>
      <c r="S22" t="s">
        <v>156</v>
      </c>
    </row>
    <row r="23" spans="1:19" x14ac:dyDescent="0.25">
      <c r="A23" t="s">
        <v>92</v>
      </c>
      <c r="B23" t="s">
        <v>157</v>
      </c>
      <c r="C23" t="s">
        <v>21</v>
      </c>
      <c r="D23">
        <v>471486</v>
      </c>
      <c r="E23">
        <v>6004486</v>
      </c>
      <c r="F23">
        <v>21</v>
      </c>
      <c r="G23" t="s">
        <v>22</v>
      </c>
      <c r="H23" t="s">
        <v>23</v>
      </c>
      <c r="I23" t="s">
        <v>158</v>
      </c>
      <c r="J23" t="s">
        <v>159</v>
      </c>
      <c r="K23">
        <v>1709</v>
      </c>
      <c r="L23" t="s">
        <v>77</v>
      </c>
      <c r="M23" t="s">
        <v>36</v>
      </c>
      <c r="N23" t="s">
        <v>28</v>
      </c>
      <c r="O23" t="s">
        <v>160</v>
      </c>
      <c r="P23" t="s">
        <v>30</v>
      </c>
      <c r="Q23" t="s">
        <v>79</v>
      </c>
      <c r="R23" s="3" t="str">
        <f>HYPERLINK("..\..\Imagery\ScannedGeochron\UPb\Scha1986Fig4a.jpg")</f>
        <v>..\..\Imagery\ScannedGeochron\UPb\Scha1986Fig4a.jpg</v>
      </c>
      <c r="S23" t="s">
        <v>161</v>
      </c>
    </row>
    <row r="24" spans="1:19" x14ac:dyDescent="0.25">
      <c r="A24" t="s">
        <v>99</v>
      </c>
      <c r="B24" t="s">
        <v>100</v>
      </c>
      <c r="C24" t="s">
        <v>21</v>
      </c>
      <c r="D24">
        <v>484461</v>
      </c>
      <c r="E24">
        <v>6033363</v>
      </c>
      <c r="F24">
        <v>21</v>
      </c>
      <c r="G24" t="s">
        <v>22</v>
      </c>
      <c r="H24" t="s">
        <v>23</v>
      </c>
      <c r="I24" t="s">
        <v>101</v>
      </c>
      <c r="J24" t="s">
        <v>162</v>
      </c>
      <c r="K24">
        <v>1733</v>
      </c>
      <c r="L24" t="s">
        <v>77</v>
      </c>
      <c r="M24" t="s">
        <v>36</v>
      </c>
      <c r="N24" t="s">
        <v>58</v>
      </c>
      <c r="O24" t="s">
        <v>163</v>
      </c>
      <c r="P24" t="s">
        <v>39</v>
      </c>
      <c r="Q24" t="s">
        <v>106</v>
      </c>
      <c r="R24" s="3" t="str">
        <f>HYPERLINK("..\..\Imagery\ScannedGeochron\UPb\Krog2002Fig4b.jpg")</f>
        <v>..\..\Imagery\ScannedGeochron\UPb\Krog2002Fig4b.jpg</v>
      </c>
      <c r="S24" t="s">
        <v>164</v>
      </c>
    </row>
    <row r="25" spans="1:19" x14ac:dyDescent="0.25">
      <c r="A25" t="s">
        <v>99</v>
      </c>
      <c r="B25" t="s">
        <v>100</v>
      </c>
      <c r="C25" t="s">
        <v>21</v>
      </c>
      <c r="D25">
        <v>484461</v>
      </c>
      <c r="E25">
        <v>6033363</v>
      </c>
      <c r="F25">
        <v>21</v>
      </c>
      <c r="G25" t="s">
        <v>22</v>
      </c>
      <c r="H25" t="s">
        <v>23</v>
      </c>
      <c r="I25" t="s">
        <v>101</v>
      </c>
      <c r="J25" t="s">
        <v>165</v>
      </c>
      <c r="K25">
        <v>1793</v>
      </c>
      <c r="L25" t="s">
        <v>77</v>
      </c>
      <c r="M25" t="s">
        <v>36</v>
      </c>
      <c r="N25" t="s">
        <v>58</v>
      </c>
      <c r="O25" t="s">
        <v>166</v>
      </c>
      <c r="P25" t="s">
        <v>39</v>
      </c>
      <c r="Q25" t="s">
        <v>106</v>
      </c>
      <c r="R25" s="3" t="str">
        <f>HYPERLINK("..\..\Imagery\ScannedGeochron\UPb\Krog2002Fig4b.jpg")</f>
        <v>..\..\Imagery\ScannedGeochron\UPb\Krog2002Fig4b.jpg</v>
      </c>
      <c r="S25" t="s">
        <v>167</v>
      </c>
    </row>
    <row r="26" spans="1:19" x14ac:dyDescent="0.25">
      <c r="A26" t="s">
        <v>168</v>
      </c>
      <c r="B26" t="s">
        <v>169</v>
      </c>
      <c r="C26" t="s">
        <v>21</v>
      </c>
      <c r="D26">
        <v>453625</v>
      </c>
      <c r="E26">
        <v>5827650</v>
      </c>
      <c r="F26">
        <v>21</v>
      </c>
      <c r="G26" t="s">
        <v>22</v>
      </c>
      <c r="I26" t="s">
        <v>170</v>
      </c>
      <c r="J26" t="s">
        <v>171</v>
      </c>
      <c r="K26">
        <v>1700</v>
      </c>
      <c r="L26" t="s">
        <v>172</v>
      </c>
      <c r="M26" t="s">
        <v>36</v>
      </c>
      <c r="N26" t="s">
        <v>28</v>
      </c>
      <c r="O26" t="s">
        <v>173</v>
      </c>
      <c r="P26" t="s">
        <v>97</v>
      </c>
      <c r="Q26" t="s">
        <v>174</v>
      </c>
      <c r="R26" s="3" t="str">
        <f>HYPERLINK("..\..\Imagery\ScannedGeochron\UPb\Wast1997Fig4c.jpg")</f>
        <v>..\..\Imagery\ScannedGeochron\UPb\Wast1997Fig4c.jpg</v>
      </c>
      <c r="S26" t="s">
        <v>175</v>
      </c>
    </row>
    <row r="27" spans="1:19" x14ac:dyDescent="0.25">
      <c r="A27" t="s">
        <v>176</v>
      </c>
      <c r="B27" t="s">
        <v>176</v>
      </c>
      <c r="C27" t="s">
        <v>21</v>
      </c>
      <c r="D27">
        <v>364116</v>
      </c>
      <c r="E27">
        <v>5898622</v>
      </c>
      <c r="F27">
        <v>21</v>
      </c>
      <c r="G27" t="s">
        <v>22</v>
      </c>
      <c r="I27" t="s">
        <v>177</v>
      </c>
      <c r="J27" t="s">
        <v>178</v>
      </c>
      <c r="K27">
        <v>1914</v>
      </c>
      <c r="L27" t="s">
        <v>172</v>
      </c>
      <c r="M27" t="s">
        <v>36</v>
      </c>
      <c r="N27" t="s">
        <v>104</v>
      </c>
      <c r="O27" t="s">
        <v>179</v>
      </c>
      <c r="P27" t="s">
        <v>180</v>
      </c>
      <c r="Q27" t="s">
        <v>181</v>
      </c>
      <c r="R27" s="3" t="str">
        <f>HYPERLINK("..\..\Imagery\ScannedGeochron\UPb\Gowe2008Fig3d.jpg")</f>
        <v>..\..\Imagery\ScannedGeochron\UPb\Gowe2008Fig3d.jpg</v>
      </c>
      <c r="S27" t="s">
        <v>182</v>
      </c>
    </row>
    <row r="28" spans="1:19" x14ac:dyDescent="0.25">
      <c r="A28" t="s">
        <v>183</v>
      </c>
      <c r="B28" t="s">
        <v>184</v>
      </c>
      <c r="C28" t="s">
        <v>21</v>
      </c>
      <c r="D28">
        <v>405328</v>
      </c>
      <c r="E28">
        <v>5911514</v>
      </c>
      <c r="F28">
        <v>21</v>
      </c>
      <c r="G28" t="s">
        <v>22</v>
      </c>
      <c r="H28" t="s">
        <v>23</v>
      </c>
      <c r="I28" t="s">
        <v>185</v>
      </c>
      <c r="J28" t="s">
        <v>186</v>
      </c>
      <c r="K28">
        <v>1789</v>
      </c>
      <c r="L28" t="s">
        <v>172</v>
      </c>
      <c r="M28" t="s">
        <v>36</v>
      </c>
      <c r="N28" t="s">
        <v>28</v>
      </c>
      <c r="O28" t="s">
        <v>187</v>
      </c>
      <c r="P28" t="s">
        <v>30</v>
      </c>
      <c r="Q28" t="s">
        <v>181</v>
      </c>
      <c r="R28" s="3" t="str">
        <f>HYPERLINK("..\..\Imagery\ScannedGeochron\UPb\Gowe2008Fig3b.jpg")</f>
        <v>..\..\Imagery\ScannedGeochron\UPb\Gowe2008Fig3b.jpg</v>
      </c>
      <c r="S28" t="s">
        <v>188</v>
      </c>
    </row>
    <row r="29" spans="1:19" x14ac:dyDescent="0.25">
      <c r="A29" t="s">
        <v>189</v>
      </c>
      <c r="B29" t="s">
        <v>189</v>
      </c>
      <c r="C29" t="s">
        <v>21</v>
      </c>
      <c r="D29">
        <v>435845</v>
      </c>
      <c r="E29">
        <v>5876075</v>
      </c>
      <c r="F29">
        <v>21</v>
      </c>
      <c r="G29" t="s">
        <v>22</v>
      </c>
      <c r="I29" t="s">
        <v>190</v>
      </c>
      <c r="J29" t="s">
        <v>191</v>
      </c>
      <c r="K29">
        <v>1735</v>
      </c>
      <c r="L29" t="s">
        <v>172</v>
      </c>
      <c r="M29" t="s">
        <v>36</v>
      </c>
      <c r="N29" t="s">
        <v>28</v>
      </c>
      <c r="O29" t="s">
        <v>192</v>
      </c>
      <c r="P29" t="s">
        <v>97</v>
      </c>
      <c r="Q29" t="s">
        <v>40</v>
      </c>
      <c r="R29" s="3" t="str">
        <f>HYPERLINK("..\..\Imagery\ScannedGeochron\UPb\Scha1988Fig4b.jpg")</f>
        <v>..\..\Imagery\ScannedGeochron\UPb\Scha1988Fig4b.jpg</v>
      </c>
      <c r="S29" t="s">
        <v>193</v>
      </c>
    </row>
    <row r="30" spans="1:19" x14ac:dyDescent="0.25">
      <c r="A30" t="s">
        <v>194</v>
      </c>
      <c r="B30" t="s">
        <v>195</v>
      </c>
      <c r="C30" t="s">
        <v>21</v>
      </c>
      <c r="D30">
        <v>519941</v>
      </c>
      <c r="E30">
        <v>5719704</v>
      </c>
      <c r="F30">
        <v>21</v>
      </c>
      <c r="G30" t="s">
        <v>22</v>
      </c>
      <c r="I30" t="s">
        <v>196</v>
      </c>
      <c r="J30" t="s">
        <v>197</v>
      </c>
      <c r="K30">
        <v>1466</v>
      </c>
      <c r="L30" t="s">
        <v>198</v>
      </c>
      <c r="M30" t="s">
        <v>36</v>
      </c>
      <c r="N30" t="s">
        <v>28</v>
      </c>
      <c r="O30" t="s">
        <v>199</v>
      </c>
      <c r="P30" t="s">
        <v>30</v>
      </c>
      <c r="Q30" t="s">
        <v>200</v>
      </c>
      <c r="R30" s="3" t="str">
        <f>HYPERLINK("..\..\Imagery\ScannedGeochron\UPb\Heam2004Fig4e.jpg")</f>
        <v>..\..\Imagery\ScannedGeochron\UPb\Heam2004Fig4e.jpg</v>
      </c>
    </row>
    <row r="31" spans="1:19" x14ac:dyDescent="0.25">
      <c r="A31" t="s">
        <v>201</v>
      </c>
      <c r="B31" t="s">
        <v>202</v>
      </c>
      <c r="C31" t="s">
        <v>21</v>
      </c>
      <c r="D31">
        <v>528574</v>
      </c>
      <c r="E31">
        <v>5731649</v>
      </c>
      <c r="F31">
        <v>21</v>
      </c>
      <c r="G31" t="s">
        <v>22</v>
      </c>
      <c r="H31" t="s">
        <v>23</v>
      </c>
      <c r="I31" t="s">
        <v>203</v>
      </c>
      <c r="J31" t="s">
        <v>204</v>
      </c>
      <c r="K31">
        <v>1650</v>
      </c>
      <c r="L31" t="s">
        <v>198</v>
      </c>
      <c r="M31" t="s">
        <v>36</v>
      </c>
      <c r="N31" t="s">
        <v>28</v>
      </c>
      <c r="O31" t="s">
        <v>205</v>
      </c>
      <c r="P31" t="s">
        <v>30</v>
      </c>
      <c r="Q31" t="s">
        <v>174</v>
      </c>
      <c r="R31" s="3" t="str">
        <f>HYPERLINK("..\..\Imagery\ScannedGeochron\UPb\Wast1997Fig3a.jpg")</f>
        <v>..\..\Imagery\ScannedGeochron\UPb\Wast1997Fig3a.jpg</v>
      </c>
      <c r="S31" t="s">
        <v>206</v>
      </c>
    </row>
    <row r="32" spans="1:19" x14ac:dyDescent="0.25">
      <c r="A32" t="s">
        <v>207</v>
      </c>
      <c r="B32" t="s">
        <v>208</v>
      </c>
      <c r="C32" t="s">
        <v>21</v>
      </c>
      <c r="D32">
        <v>538258</v>
      </c>
      <c r="E32">
        <v>5794495</v>
      </c>
      <c r="F32">
        <v>21</v>
      </c>
      <c r="G32" t="s">
        <v>22</v>
      </c>
      <c r="I32" t="s">
        <v>209</v>
      </c>
      <c r="J32" t="s">
        <v>210</v>
      </c>
      <c r="K32">
        <v>1145</v>
      </c>
      <c r="L32" t="s">
        <v>198</v>
      </c>
      <c r="M32" t="s">
        <v>36</v>
      </c>
      <c r="N32" t="s">
        <v>37</v>
      </c>
      <c r="O32" t="s">
        <v>211</v>
      </c>
      <c r="P32" t="s">
        <v>212</v>
      </c>
      <c r="Q32" t="s">
        <v>213</v>
      </c>
      <c r="R32" s="3" t="str">
        <f>HYPERLINK("..\..\Imagery\ScannedGeochron\UPb\Tuck1994Fig7.jpg")</f>
        <v>..\..\Imagery\ScannedGeochron\UPb\Tuck1994Fig7.jpg</v>
      </c>
      <c r="S32" t="s">
        <v>214</v>
      </c>
    </row>
    <row r="33" spans="1:19" x14ac:dyDescent="0.25">
      <c r="A33" t="s">
        <v>215</v>
      </c>
      <c r="B33" t="s">
        <v>216</v>
      </c>
      <c r="C33" t="s">
        <v>21</v>
      </c>
      <c r="D33">
        <v>588742</v>
      </c>
      <c r="E33">
        <v>5773072</v>
      </c>
      <c r="F33">
        <v>21</v>
      </c>
      <c r="G33" t="s">
        <v>22</v>
      </c>
      <c r="I33" t="s">
        <v>217</v>
      </c>
      <c r="J33" t="s">
        <v>218</v>
      </c>
      <c r="K33">
        <v>1805</v>
      </c>
      <c r="L33" t="s">
        <v>198</v>
      </c>
      <c r="M33" t="s">
        <v>36</v>
      </c>
      <c r="N33" t="s">
        <v>58</v>
      </c>
      <c r="O33" t="s">
        <v>219</v>
      </c>
      <c r="P33" t="s">
        <v>220</v>
      </c>
      <c r="Q33" t="s">
        <v>174</v>
      </c>
      <c r="R33" s="3" t="str">
        <f>HYPERLINK("..\..\Imagery\ScannedGeochron\UPb\Wast1997Fig2a.jpg")</f>
        <v>..\..\Imagery\ScannedGeochron\UPb\Wast1997Fig2a.jpg</v>
      </c>
    </row>
    <row r="34" spans="1:19" x14ac:dyDescent="0.25">
      <c r="A34" t="s">
        <v>215</v>
      </c>
      <c r="B34" t="s">
        <v>216</v>
      </c>
      <c r="C34" t="s">
        <v>21</v>
      </c>
      <c r="D34">
        <v>588742</v>
      </c>
      <c r="E34">
        <v>5773072</v>
      </c>
      <c r="F34">
        <v>21</v>
      </c>
      <c r="G34" t="s">
        <v>22</v>
      </c>
      <c r="I34" t="s">
        <v>217</v>
      </c>
      <c r="J34" t="s">
        <v>221</v>
      </c>
      <c r="K34">
        <v>1878</v>
      </c>
      <c r="L34" t="s">
        <v>198</v>
      </c>
      <c r="M34" t="s">
        <v>36</v>
      </c>
      <c r="N34" t="s">
        <v>58</v>
      </c>
      <c r="O34" t="s">
        <v>222</v>
      </c>
      <c r="P34" t="s">
        <v>220</v>
      </c>
      <c r="Q34" t="s">
        <v>174</v>
      </c>
      <c r="R34" s="3" t="str">
        <f>HYPERLINK("..\..\Imagery\ScannedGeochron\UPb\Wast1997Fig2a.jpg")</f>
        <v>..\..\Imagery\ScannedGeochron\UPb\Wast1997Fig2a.jpg</v>
      </c>
    </row>
    <row r="35" spans="1:19" x14ac:dyDescent="0.25">
      <c r="A35" t="s">
        <v>223</v>
      </c>
      <c r="B35" t="s">
        <v>223</v>
      </c>
      <c r="C35" t="s">
        <v>21</v>
      </c>
      <c r="D35">
        <v>530631</v>
      </c>
      <c r="E35">
        <v>5790718</v>
      </c>
      <c r="F35">
        <v>21</v>
      </c>
      <c r="G35" t="s">
        <v>22</v>
      </c>
      <c r="I35" t="s">
        <v>224</v>
      </c>
      <c r="J35" t="s">
        <v>225</v>
      </c>
      <c r="K35">
        <v>2089</v>
      </c>
      <c r="L35" t="s">
        <v>198</v>
      </c>
      <c r="M35" t="s">
        <v>36</v>
      </c>
      <c r="N35" t="s">
        <v>28</v>
      </c>
      <c r="O35" t="s">
        <v>226</v>
      </c>
      <c r="P35" t="s">
        <v>97</v>
      </c>
      <c r="Q35" t="s">
        <v>174</v>
      </c>
      <c r="R35" s="3" t="str">
        <f>HYPERLINK("..\..\Imagery\ScannedGeochron\UPb\Wast1997Fig4d.jpg")</f>
        <v>..\..\Imagery\ScannedGeochron\UPb\Wast1997Fig4d.jpg</v>
      </c>
      <c r="S35" t="s">
        <v>227</v>
      </c>
    </row>
    <row r="36" spans="1:19" x14ac:dyDescent="0.25">
      <c r="A36" t="s">
        <v>215</v>
      </c>
      <c r="B36" t="s">
        <v>216</v>
      </c>
      <c r="C36" t="s">
        <v>21</v>
      </c>
      <c r="D36">
        <v>588742</v>
      </c>
      <c r="E36">
        <v>5773072</v>
      </c>
      <c r="F36">
        <v>21</v>
      </c>
      <c r="G36" t="s">
        <v>22</v>
      </c>
      <c r="I36" t="s">
        <v>217</v>
      </c>
      <c r="J36" t="s">
        <v>228</v>
      </c>
      <c r="K36">
        <v>2720</v>
      </c>
      <c r="L36" t="s">
        <v>198</v>
      </c>
      <c r="M36" t="s">
        <v>36</v>
      </c>
      <c r="N36" t="s">
        <v>28</v>
      </c>
      <c r="O36" t="s">
        <v>229</v>
      </c>
      <c r="P36" t="s">
        <v>220</v>
      </c>
      <c r="Q36" t="s">
        <v>174</v>
      </c>
      <c r="R36" s="3" t="str">
        <f>HYPERLINK("..\..\Imagery\ScannedGeochron\UPb\Wast1997Fig2a.jpg")</f>
        <v>..\..\Imagery\ScannedGeochron\UPb\Wast1997Fig2a.jpg</v>
      </c>
      <c r="S36" t="s">
        <v>230</v>
      </c>
    </row>
    <row r="37" spans="1:19" x14ac:dyDescent="0.25">
      <c r="A37" t="s">
        <v>145</v>
      </c>
      <c r="B37" t="s">
        <v>231</v>
      </c>
      <c r="C37" t="s">
        <v>21</v>
      </c>
      <c r="D37">
        <v>490968</v>
      </c>
      <c r="E37">
        <v>6039407</v>
      </c>
      <c r="F37">
        <v>21</v>
      </c>
      <c r="G37" t="s">
        <v>22</v>
      </c>
      <c r="H37" t="s">
        <v>23</v>
      </c>
      <c r="I37" t="s">
        <v>232</v>
      </c>
      <c r="J37" t="s">
        <v>233</v>
      </c>
      <c r="K37">
        <v>1730</v>
      </c>
      <c r="L37" t="s">
        <v>77</v>
      </c>
      <c r="M37" t="s">
        <v>36</v>
      </c>
      <c r="N37" t="s">
        <v>58</v>
      </c>
      <c r="O37" t="s">
        <v>234</v>
      </c>
      <c r="P37" t="s">
        <v>30</v>
      </c>
      <c r="Q37" t="s">
        <v>106</v>
      </c>
      <c r="R37" s="3" t="str">
        <f>HYPERLINK("..\..\Imagery\ScannedGeochron\UPb\Krog2002Fig6.jpg")</f>
        <v>..\..\Imagery\ScannedGeochron\UPb\Krog2002Fig6.jpg</v>
      </c>
      <c r="S37" t="s">
        <v>235</v>
      </c>
    </row>
    <row r="38" spans="1:19" x14ac:dyDescent="0.25">
      <c r="A38" t="s">
        <v>145</v>
      </c>
      <c r="B38" t="s">
        <v>236</v>
      </c>
      <c r="C38" t="s">
        <v>21</v>
      </c>
      <c r="D38">
        <v>490968</v>
      </c>
      <c r="E38">
        <v>6039407</v>
      </c>
      <c r="F38">
        <v>21</v>
      </c>
      <c r="G38" t="s">
        <v>22</v>
      </c>
      <c r="H38" t="s">
        <v>23</v>
      </c>
      <c r="I38" t="s">
        <v>237</v>
      </c>
      <c r="J38" t="s">
        <v>238</v>
      </c>
      <c r="K38">
        <v>1790</v>
      </c>
      <c r="L38" t="s">
        <v>77</v>
      </c>
      <c r="M38" t="s">
        <v>36</v>
      </c>
      <c r="N38" t="s">
        <v>58</v>
      </c>
      <c r="O38" t="s">
        <v>239</v>
      </c>
      <c r="P38" t="s">
        <v>39</v>
      </c>
      <c r="Q38" t="s">
        <v>106</v>
      </c>
      <c r="R38" s="3" t="str">
        <f>HYPERLINK("..\..\Imagery\ScannedGeochron\UPb\Krog2002Fig6.jpg")</f>
        <v>..\..\Imagery\ScannedGeochron\UPb\Krog2002Fig6.jpg</v>
      </c>
    </row>
    <row r="39" spans="1:19" x14ac:dyDescent="0.25">
      <c r="A39" t="s">
        <v>240</v>
      </c>
      <c r="B39" t="s">
        <v>241</v>
      </c>
      <c r="C39" t="s">
        <v>21</v>
      </c>
      <c r="D39">
        <v>416650</v>
      </c>
      <c r="E39">
        <v>5875024</v>
      </c>
      <c r="F39">
        <v>21</v>
      </c>
      <c r="G39" t="s">
        <v>22</v>
      </c>
      <c r="H39" t="s">
        <v>23</v>
      </c>
      <c r="I39" t="s">
        <v>242</v>
      </c>
      <c r="J39" t="s">
        <v>243</v>
      </c>
      <c r="K39">
        <v>1798</v>
      </c>
      <c r="L39" t="s">
        <v>172</v>
      </c>
      <c r="M39" t="s">
        <v>36</v>
      </c>
      <c r="N39" t="s">
        <v>28</v>
      </c>
      <c r="O39" t="s">
        <v>244</v>
      </c>
      <c r="P39" t="s">
        <v>30</v>
      </c>
      <c r="Q39" t="s">
        <v>181</v>
      </c>
      <c r="R39" s="3" t="str">
        <f>HYPERLINK("..\..\Imagery\ScannedGeochron\UPb\Gowe2008Fig3a.jpg")</f>
        <v>..\..\Imagery\ScannedGeochron\UPb\Gowe2008Fig3a.jpg</v>
      </c>
      <c r="S39" t="s">
        <v>245</v>
      </c>
    </row>
    <row r="40" spans="1:19" x14ac:dyDescent="0.25">
      <c r="A40" t="s">
        <v>33</v>
      </c>
      <c r="B40" t="s">
        <v>33</v>
      </c>
      <c r="C40" t="s">
        <v>21</v>
      </c>
      <c r="D40">
        <v>479662</v>
      </c>
      <c r="E40">
        <v>5935245</v>
      </c>
      <c r="F40">
        <v>21</v>
      </c>
      <c r="G40" t="s">
        <v>22</v>
      </c>
      <c r="I40" t="s">
        <v>34</v>
      </c>
      <c r="J40" t="s">
        <v>246</v>
      </c>
      <c r="K40">
        <v>977</v>
      </c>
      <c r="L40" t="s">
        <v>26</v>
      </c>
      <c r="M40" t="s">
        <v>103</v>
      </c>
      <c r="N40" t="s">
        <v>58</v>
      </c>
      <c r="O40" t="s">
        <v>247</v>
      </c>
      <c r="P40" t="s">
        <v>39</v>
      </c>
      <c r="Q40" t="s">
        <v>40</v>
      </c>
      <c r="R40" s="3" t="str">
        <f>HYPERLINK("..\..\Imagery\ScannedGeochron\UPb\Scha1988Fig2b.jpg")</f>
        <v>..\..\Imagery\ScannedGeochron\UPb\Scha1988Fig2b.jpg</v>
      </c>
    </row>
    <row r="41" spans="1:19" x14ac:dyDescent="0.25">
      <c r="A41" t="s">
        <v>248</v>
      </c>
      <c r="B41" t="s">
        <v>249</v>
      </c>
      <c r="C41" t="s">
        <v>21</v>
      </c>
      <c r="D41">
        <v>579966</v>
      </c>
      <c r="E41">
        <v>5850649</v>
      </c>
      <c r="F41">
        <v>21</v>
      </c>
      <c r="G41" t="s">
        <v>22</v>
      </c>
      <c r="H41" t="s">
        <v>23</v>
      </c>
      <c r="I41" t="s">
        <v>250</v>
      </c>
      <c r="J41" t="s">
        <v>251</v>
      </c>
      <c r="K41">
        <v>1000</v>
      </c>
      <c r="L41" t="s">
        <v>26</v>
      </c>
      <c r="M41" t="s">
        <v>103</v>
      </c>
      <c r="N41" t="s">
        <v>252</v>
      </c>
      <c r="O41" t="s">
        <v>253</v>
      </c>
      <c r="P41" t="s">
        <v>39</v>
      </c>
      <c r="Q41" t="s">
        <v>31</v>
      </c>
      <c r="R41" s="3" t="str">
        <f>HYPERLINK("..\..\Imagery\ScannedGeochron\UPb\Kamo1996Fig10.jpg")</f>
        <v>..\..\Imagery\ScannedGeochron\UPb\Kamo1996Fig10.jpg</v>
      </c>
      <c r="S41" t="s">
        <v>254</v>
      </c>
    </row>
    <row r="42" spans="1:19" x14ac:dyDescent="0.25">
      <c r="A42" t="s">
        <v>248</v>
      </c>
      <c r="B42" t="s">
        <v>255</v>
      </c>
      <c r="C42" t="s">
        <v>21</v>
      </c>
      <c r="D42">
        <v>579966</v>
      </c>
      <c r="E42">
        <v>5850649</v>
      </c>
      <c r="F42">
        <v>21</v>
      </c>
      <c r="G42" t="s">
        <v>22</v>
      </c>
      <c r="H42" t="s">
        <v>23</v>
      </c>
      <c r="I42" t="s">
        <v>256</v>
      </c>
      <c r="J42" t="s">
        <v>257</v>
      </c>
      <c r="K42">
        <v>1020</v>
      </c>
      <c r="L42" t="s">
        <v>26</v>
      </c>
      <c r="M42" t="s">
        <v>36</v>
      </c>
      <c r="N42" t="s">
        <v>252</v>
      </c>
      <c r="O42" t="s">
        <v>258</v>
      </c>
      <c r="P42" t="s">
        <v>39</v>
      </c>
      <c r="Q42" t="s">
        <v>31</v>
      </c>
      <c r="R42" s="3" t="str">
        <f>HYPERLINK("..\..\Imagery\ScannedGeochron\UPb\Kamo1996Fig10.jpg")</f>
        <v>..\..\Imagery\ScannedGeochron\UPb\Kamo1996Fig10.jpg</v>
      </c>
      <c r="S42" t="s">
        <v>259</v>
      </c>
    </row>
    <row r="43" spans="1:19" x14ac:dyDescent="0.25">
      <c r="A43" t="s">
        <v>260</v>
      </c>
      <c r="B43" t="s">
        <v>260</v>
      </c>
      <c r="C43" t="s">
        <v>21</v>
      </c>
      <c r="D43">
        <v>468272</v>
      </c>
      <c r="E43">
        <v>5903964</v>
      </c>
      <c r="F43">
        <v>21</v>
      </c>
      <c r="G43" t="s">
        <v>22</v>
      </c>
      <c r="I43" t="s">
        <v>261</v>
      </c>
      <c r="J43" t="s">
        <v>262</v>
      </c>
      <c r="K43">
        <v>1029</v>
      </c>
      <c r="L43" t="s">
        <v>26</v>
      </c>
      <c r="M43" t="s">
        <v>263</v>
      </c>
      <c r="N43" t="s">
        <v>58</v>
      </c>
      <c r="O43" t="s">
        <v>264</v>
      </c>
      <c r="P43" t="s">
        <v>30</v>
      </c>
      <c r="Q43" t="s">
        <v>79</v>
      </c>
      <c r="R43" s="3" t="str">
        <f>HYPERLINK("..\..\Imagery\ScannedGeochron\UPb\Scha1986Fig9a.jpg")</f>
        <v>..\..\Imagery\ScannedGeochron\UPb\Scha1986Fig9a.jpg</v>
      </c>
    </row>
    <row r="44" spans="1:19" x14ac:dyDescent="0.25">
      <c r="A44" t="s">
        <v>248</v>
      </c>
      <c r="B44" t="s">
        <v>265</v>
      </c>
      <c r="C44" t="s">
        <v>21</v>
      </c>
      <c r="D44">
        <v>579966</v>
      </c>
      <c r="E44">
        <v>5850649</v>
      </c>
      <c r="F44">
        <v>21</v>
      </c>
      <c r="G44" t="s">
        <v>22</v>
      </c>
      <c r="H44" t="s">
        <v>23</v>
      </c>
      <c r="I44" t="s">
        <v>266</v>
      </c>
      <c r="J44" t="s">
        <v>267</v>
      </c>
      <c r="K44">
        <v>1474</v>
      </c>
      <c r="L44" t="s">
        <v>26</v>
      </c>
      <c r="M44" t="s">
        <v>103</v>
      </c>
      <c r="N44" t="s">
        <v>58</v>
      </c>
      <c r="O44" t="s">
        <v>268</v>
      </c>
      <c r="P44" t="s">
        <v>39</v>
      </c>
      <c r="Q44" t="s">
        <v>31</v>
      </c>
      <c r="R44" s="3" t="str">
        <f>HYPERLINK("..\..\Imagery\ScannedGeochron\UPb\Kamo1996Fig10.jpg")</f>
        <v>..\..\Imagery\ScannedGeochron\UPb\Kamo1996Fig10.jpg</v>
      </c>
      <c r="S44" t="s">
        <v>269</v>
      </c>
    </row>
    <row r="45" spans="1:19" x14ac:dyDescent="0.25">
      <c r="A45" t="s">
        <v>42</v>
      </c>
      <c r="B45" t="s">
        <v>270</v>
      </c>
      <c r="C45" t="s">
        <v>21</v>
      </c>
      <c r="D45">
        <v>580273</v>
      </c>
      <c r="E45">
        <v>5900047</v>
      </c>
      <c r="F45">
        <v>21</v>
      </c>
      <c r="G45" t="s">
        <v>22</v>
      </c>
      <c r="H45" t="s">
        <v>23</v>
      </c>
      <c r="I45" t="s">
        <v>271</v>
      </c>
      <c r="J45" t="s">
        <v>272</v>
      </c>
      <c r="K45">
        <v>1490</v>
      </c>
      <c r="L45" t="s">
        <v>26</v>
      </c>
      <c r="M45" t="s">
        <v>103</v>
      </c>
      <c r="N45" t="s">
        <v>104</v>
      </c>
      <c r="O45" t="s">
        <v>273</v>
      </c>
      <c r="P45" t="s">
        <v>39</v>
      </c>
      <c r="Q45" t="s">
        <v>31</v>
      </c>
      <c r="R45" s="3" t="str">
        <f>HYPERLINK("..\..\Imagery\ScannedGeochron\UPb\Kamo1996Fig6.jpg")</f>
        <v>..\..\Imagery\ScannedGeochron\UPb\Kamo1996Fig6.jpg</v>
      </c>
      <c r="S45" t="s">
        <v>274</v>
      </c>
    </row>
    <row r="46" spans="1:19" x14ac:dyDescent="0.25">
      <c r="A46" t="s">
        <v>260</v>
      </c>
      <c r="B46" t="s">
        <v>260</v>
      </c>
      <c r="C46" t="s">
        <v>21</v>
      </c>
      <c r="D46">
        <v>468272</v>
      </c>
      <c r="E46">
        <v>5903964</v>
      </c>
      <c r="F46">
        <v>21</v>
      </c>
      <c r="G46" t="s">
        <v>22</v>
      </c>
      <c r="I46" t="s">
        <v>261</v>
      </c>
      <c r="J46" t="s">
        <v>275</v>
      </c>
      <c r="K46">
        <v>1566</v>
      </c>
      <c r="L46" t="s">
        <v>26</v>
      </c>
      <c r="M46" t="s">
        <v>36</v>
      </c>
      <c r="N46" t="s">
        <v>37</v>
      </c>
      <c r="O46" t="s">
        <v>276</v>
      </c>
      <c r="P46" t="s">
        <v>97</v>
      </c>
      <c r="Q46" t="s">
        <v>79</v>
      </c>
      <c r="R46" s="3" t="str">
        <f>HYPERLINK("..\..\Imagery\ScannedGeochron\UPb\Scha1986Fig9a.jpg")</f>
        <v>..\..\Imagery\ScannedGeochron\UPb\Scha1986Fig9a.jpg</v>
      </c>
      <c r="S46" t="s">
        <v>277</v>
      </c>
    </row>
    <row r="47" spans="1:19" x14ac:dyDescent="0.25">
      <c r="A47" t="s">
        <v>248</v>
      </c>
      <c r="B47" t="s">
        <v>249</v>
      </c>
      <c r="C47" t="s">
        <v>21</v>
      </c>
      <c r="D47">
        <v>579966</v>
      </c>
      <c r="E47">
        <v>5850649</v>
      </c>
      <c r="F47">
        <v>21</v>
      </c>
      <c r="G47" t="s">
        <v>22</v>
      </c>
      <c r="H47" t="s">
        <v>23</v>
      </c>
      <c r="I47" t="s">
        <v>250</v>
      </c>
      <c r="J47" t="s">
        <v>278</v>
      </c>
      <c r="K47">
        <v>1567</v>
      </c>
      <c r="L47" t="s">
        <v>26</v>
      </c>
      <c r="M47" t="s">
        <v>103</v>
      </c>
      <c r="N47" t="s">
        <v>104</v>
      </c>
      <c r="O47" t="s">
        <v>253</v>
      </c>
      <c r="P47" t="s">
        <v>30</v>
      </c>
      <c r="Q47" t="s">
        <v>31</v>
      </c>
      <c r="R47" s="3" t="str">
        <f>HYPERLINK("..\..\Imagery\ScannedGeochron\UPb\Kamo1996Fig10.jpg")</f>
        <v>..\..\Imagery\ScannedGeochron\UPb\Kamo1996Fig10.jpg</v>
      </c>
      <c r="S47" t="s">
        <v>279</v>
      </c>
    </row>
    <row r="48" spans="1:19" x14ac:dyDescent="0.25">
      <c r="A48" t="s">
        <v>248</v>
      </c>
      <c r="B48" t="s">
        <v>265</v>
      </c>
      <c r="C48" t="s">
        <v>21</v>
      </c>
      <c r="D48">
        <v>579966</v>
      </c>
      <c r="E48">
        <v>5850649</v>
      </c>
      <c r="F48">
        <v>21</v>
      </c>
      <c r="G48" t="s">
        <v>22</v>
      </c>
      <c r="H48" t="s">
        <v>23</v>
      </c>
      <c r="I48" t="s">
        <v>266</v>
      </c>
      <c r="J48" t="s">
        <v>280</v>
      </c>
      <c r="K48">
        <v>1585</v>
      </c>
      <c r="L48" t="s">
        <v>26</v>
      </c>
      <c r="M48" t="s">
        <v>103</v>
      </c>
      <c r="N48" t="s">
        <v>28</v>
      </c>
      <c r="O48" t="s">
        <v>281</v>
      </c>
      <c r="P48" t="s">
        <v>39</v>
      </c>
      <c r="Q48" t="s">
        <v>31</v>
      </c>
      <c r="R48" s="3" t="str">
        <f>HYPERLINK("..\..\Imagery\ScannedGeochron\UPb\Kamo1996Fig10.jpg")</f>
        <v>..\..\Imagery\ScannedGeochron\UPb\Kamo1996Fig10.jpg</v>
      </c>
      <c r="S48" t="s">
        <v>282</v>
      </c>
    </row>
    <row r="49" spans="1:19" x14ac:dyDescent="0.25">
      <c r="A49" t="s">
        <v>42</v>
      </c>
      <c r="B49" t="s">
        <v>283</v>
      </c>
      <c r="C49" t="s">
        <v>21</v>
      </c>
      <c r="D49">
        <v>580273</v>
      </c>
      <c r="E49">
        <v>5900047</v>
      </c>
      <c r="F49">
        <v>21</v>
      </c>
      <c r="G49" t="s">
        <v>22</v>
      </c>
      <c r="H49" t="s">
        <v>23</v>
      </c>
      <c r="I49" t="s">
        <v>271</v>
      </c>
      <c r="J49" t="s">
        <v>284</v>
      </c>
      <c r="K49">
        <v>1617</v>
      </c>
      <c r="L49" t="s">
        <v>26</v>
      </c>
      <c r="M49" t="s">
        <v>103</v>
      </c>
      <c r="N49" t="s">
        <v>58</v>
      </c>
      <c r="O49" t="s">
        <v>285</v>
      </c>
      <c r="P49" t="s">
        <v>30</v>
      </c>
      <c r="Q49" t="s">
        <v>31</v>
      </c>
      <c r="R49" s="3" t="str">
        <f>HYPERLINK("..\..\Imagery\ScannedGeochron\UPb\Kamo1996Fig10.jpg")</f>
        <v>..\..\Imagery\ScannedGeochron\UPb\Kamo1996Fig10.jpg</v>
      </c>
      <c r="S49" t="s">
        <v>286</v>
      </c>
    </row>
    <row r="50" spans="1:19" x14ac:dyDescent="0.25">
      <c r="A50" t="s">
        <v>54</v>
      </c>
      <c r="B50" t="s">
        <v>287</v>
      </c>
      <c r="C50" t="s">
        <v>21</v>
      </c>
      <c r="D50">
        <v>579503</v>
      </c>
      <c r="E50">
        <v>5894184</v>
      </c>
      <c r="F50">
        <v>21</v>
      </c>
      <c r="G50" t="s">
        <v>22</v>
      </c>
      <c r="H50" t="s">
        <v>23</v>
      </c>
      <c r="I50" t="s">
        <v>288</v>
      </c>
      <c r="J50" t="s">
        <v>289</v>
      </c>
      <c r="K50">
        <v>1622</v>
      </c>
      <c r="L50" t="s">
        <v>26</v>
      </c>
      <c r="M50" t="s">
        <v>290</v>
      </c>
      <c r="N50" t="s">
        <v>28</v>
      </c>
      <c r="O50" t="s">
        <v>128</v>
      </c>
      <c r="P50" t="s">
        <v>30</v>
      </c>
      <c r="Q50" t="s">
        <v>291</v>
      </c>
      <c r="R50" s="3" t="str">
        <f>HYPERLINK("..\..\Imagery\ScannedGeochron\UPb\Gowe1992Fig4b.jpg")</f>
        <v>..\..\Imagery\ScannedGeochron\UPb\Gowe1992Fig4b.jpg</v>
      </c>
      <c r="S50" t="s">
        <v>292</v>
      </c>
    </row>
    <row r="51" spans="1:19" x14ac:dyDescent="0.25">
      <c r="A51" t="s">
        <v>19</v>
      </c>
      <c r="B51" t="s">
        <v>293</v>
      </c>
      <c r="C51" t="s">
        <v>21</v>
      </c>
      <c r="D51">
        <v>494265</v>
      </c>
      <c r="E51">
        <v>5882723</v>
      </c>
      <c r="F51">
        <v>21</v>
      </c>
      <c r="G51" t="s">
        <v>22</v>
      </c>
      <c r="H51" t="s">
        <v>23</v>
      </c>
      <c r="I51" t="s">
        <v>294</v>
      </c>
      <c r="J51" t="s">
        <v>295</v>
      </c>
      <c r="K51">
        <v>1629</v>
      </c>
      <c r="L51" t="s">
        <v>26</v>
      </c>
      <c r="M51" t="s">
        <v>36</v>
      </c>
      <c r="N51" t="s">
        <v>58</v>
      </c>
      <c r="O51" t="s">
        <v>296</v>
      </c>
      <c r="P51" t="s">
        <v>30</v>
      </c>
      <c r="Q51" t="s">
        <v>31</v>
      </c>
      <c r="R51" s="3" t="str">
        <f>HYPERLINK("..\..\Imagery\ScannedGeochron\UPb\Kamo1996Fig12.jpg")</f>
        <v>..\..\Imagery\ScannedGeochron\UPb\Kamo1996Fig12.jpg</v>
      </c>
      <c r="S51" t="s">
        <v>297</v>
      </c>
    </row>
    <row r="52" spans="1:19" x14ac:dyDescent="0.25">
      <c r="A52" t="s">
        <v>298</v>
      </c>
      <c r="B52" t="s">
        <v>298</v>
      </c>
      <c r="C52" t="s">
        <v>21</v>
      </c>
      <c r="D52">
        <v>513821</v>
      </c>
      <c r="E52">
        <v>5882508</v>
      </c>
      <c r="F52">
        <v>21</v>
      </c>
      <c r="G52" t="s">
        <v>22</v>
      </c>
      <c r="I52" t="s">
        <v>299</v>
      </c>
      <c r="J52" t="s">
        <v>300</v>
      </c>
      <c r="K52">
        <v>1631</v>
      </c>
      <c r="L52" t="s">
        <v>26</v>
      </c>
      <c r="M52" t="s">
        <v>263</v>
      </c>
      <c r="N52" t="s">
        <v>58</v>
      </c>
      <c r="O52" t="s">
        <v>301</v>
      </c>
      <c r="P52" t="s">
        <v>39</v>
      </c>
      <c r="Q52" t="s">
        <v>31</v>
      </c>
      <c r="R52" s="3" t="str">
        <f>HYPERLINK("..\..\Imagery\ScannedGeochron\UPb\Kamo1996Fig11.jpg")</f>
        <v>..\..\Imagery\ScannedGeochron\UPb\Kamo1996Fig11.jpg</v>
      </c>
      <c r="S52" t="s">
        <v>302</v>
      </c>
    </row>
    <row r="53" spans="1:19" x14ac:dyDescent="0.25">
      <c r="A53" t="s">
        <v>303</v>
      </c>
      <c r="B53" t="s">
        <v>303</v>
      </c>
      <c r="C53" t="s">
        <v>21</v>
      </c>
      <c r="D53">
        <v>422025</v>
      </c>
      <c r="E53">
        <v>5858075</v>
      </c>
      <c r="F53">
        <v>21</v>
      </c>
      <c r="G53" t="s">
        <v>22</v>
      </c>
      <c r="I53" t="s">
        <v>304</v>
      </c>
      <c r="J53" t="s">
        <v>305</v>
      </c>
      <c r="K53">
        <v>1659</v>
      </c>
      <c r="L53" t="s">
        <v>172</v>
      </c>
      <c r="M53" t="s">
        <v>36</v>
      </c>
      <c r="N53" t="s">
        <v>28</v>
      </c>
      <c r="O53" t="s">
        <v>306</v>
      </c>
      <c r="P53" t="s">
        <v>30</v>
      </c>
      <c r="Q53" t="s">
        <v>181</v>
      </c>
      <c r="R53" s="3" t="str">
        <f>HYPERLINK("..\..\Imagery\ScannedGeochron\UPb\Gowe2008Fig4e.jpg")</f>
        <v>..\..\Imagery\ScannedGeochron\UPb\Gowe2008Fig4e.jpg</v>
      </c>
      <c r="S53" t="s">
        <v>307</v>
      </c>
    </row>
    <row r="54" spans="1:19" x14ac:dyDescent="0.25">
      <c r="A54" t="s">
        <v>303</v>
      </c>
      <c r="B54" t="s">
        <v>303</v>
      </c>
      <c r="C54" t="s">
        <v>21</v>
      </c>
      <c r="D54">
        <v>422025</v>
      </c>
      <c r="E54">
        <v>5858075</v>
      </c>
      <c r="F54">
        <v>21</v>
      </c>
      <c r="G54" t="s">
        <v>22</v>
      </c>
      <c r="I54" t="s">
        <v>304</v>
      </c>
      <c r="J54" t="s">
        <v>308</v>
      </c>
      <c r="K54">
        <v>1030</v>
      </c>
      <c r="L54" t="s">
        <v>172</v>
      </c>
      <c r="M54" t="s">
        <v>263</v>
      </c>
      <c r="N54" t="s">
        <v>58</v>
      </c>
      <c r="O54" t="s">
        <v>309</v>
      </c>
      <c r="P54" t="s">
        <v>39</v>
      </c>
      <c r="Q54" t="s">
        <v>181</v>
      </c>
      <c r="R54" s="3" t="str">
        <f>HYPERLINK("..\..\Imagery\ScannedGeochron\UPb\Gowe2008Fig4e.jpg")</f>
        <v>..\..\Imagery\ScannedGeochron\UPb\Gowe2008Fig4e.jpg</v>
      </c>
    </row>
    <row r="55" spans="1:19" x14ac:dyDescent="0.25">
      <c r="A55" t="s">
        <v>310</v>
      </c>
      <c r="B55" t="s">
        <v>311</v>
      </c>
      <c r="C55" t="s">
        <v>21</v>
      </c>
      <c r="D55">
        <v>344444</v>
      </c>
      <c r="E55">
        <v>5836488</v>
      </c>
      <c r="F55">
        <v>21</v>
      </c>
      <c r="G55" t="s">
        <v>22</v>
      </c>
      <c r="H55" t="s">
        <v>23</v>
      </c>
      <c r="I55" t="s">
        <v>312</v>
      </c>
      <c r="J55" t="s">
        <v>313</v>
      </c>
      <c r="K55">
        <v>1670</v>
      </c>
      <c r="L55" t="s">
        <v>172</v>
      </c>
      <c r="M55" t="s">
        <v>36</v>
      </c>
      <c r="N55" t="s">
        <v>28</v>
      </c>
      <c r="O55" t="s">
        <v>314</v>
      </c>
      <c r="P55" t="s">
        <v>30</v>
      </c>
      <c r="Q55" t="s">
        <v>181</v>
      </c>
      <c r="R55" s="3" t="str">
        <f>HYPERLINK("..\..\Imagery\ScannedGeochron\UPb\Gowe2008Fig4a.jpg")</f>
        <v>..\..\Imagery\ScannedGeochron\UPb\Gowe2008Fig4a.jpg</v>
      </c>
      <c r="S55" t="s">
        <v>315</v>
      </c>
    </row>
    <row r="56" spans="1:19" x14ac:dyDescent="0.25">
      <c r="A56" t="s">
        <v>310</v>
      </c>
      <c r="B56" t="s">
        <v>311</v>
      </c>
      <c r="C56" t="s">
        <v>21</v>
      </c>
      <c r="D56">
        <v>344444</v>
      </c>
      <c r="E56">
        <v>5836488</v>
      </c>
      <c r="F56">
        <v>21</v>
      </c>
      <c r="G56" t="s">
        <v>22</v>
      </c>
      <c r="H56" t="s">
        <v>23</v>
      </c>
      <c r="I56" t="s">
        <v>312</v>
      </c>
      <c r="J56" t="s">
        <v>316</v>
      </c>
      <c r="K56">
        <v>1029</v>
      </c>
      <c r="L56" t="s">
        <v>172</v>
      </c>
      <c r="M56" t="s">
        <v>103</v>
      </c>
      <c r="N56" t="s">
        <v>58</v>
      </c>
      <c r="O56" t="s">
        <v>105</v>
      </c>
      <c r="P56" t="s">
        <v>39</v>
      </c>
      <c r="Q56" t="s">
        <v>181</v>
      </c>
      <c r="R56" s="3" t="str">
        <f>HYPERLINK("..\..\Imagery\ScannedGeochron\UPb\Gowe2008Fig4a.jpg")</f>
        <v>..\..\Imagery\ScannedGeochron\UPb\Gowe2008Fig4a.jpg</v>
      </c>
    </row>
    <row r="57" spans="1:19" x14ac:dyDescent="0.25">
      <c r="A57" t="s">
        <v>310</v>
      </c>
      <c r="B57" t="s">
        <v>317</v>
      </c>
      <c r="C57" t="s">
        <v>21</v>
      </c>
      <c r="D57">
        <v>344444</v>
      </c>
      <c r="E57">
        <v>5836488</v>
      </c>
      <c r="F57">
        <v>21</v>
      </c>
      <c r="G57" t="s">
        <v>22</v>
      </c>
      <c r="H57" t="s">
        <v>23</v>
      </c>
      <c r="I57" t="s">
        <v>318</v>
      </c>
      <c r="J57" t="s">
        <v>319</v>
      </c>
      <c r="K57">
        <v>337</v>
      </c>
      <c r="L57" t="s">
        <v>172</v>
      </c>
      <c r="M57" t="s">
        <v>36</v>
      </c>
      <c r="N57" t="s">
        <v>320</v>
      </c>
      <c r="O57" t="s">
        <v>321</v>
      </c>
      <c r="P57" t="s">
        <v>212</v>
      </c>
      <c r="Q57" t="s">
        <v>181</v>
      </c>
      <c r="R57" s="3" t="str">
        <f>HYPERLINK("..\..\Imagery\ScannedGeochron\UPb\Gowe2008Fig4c.jpg")</f>
        <v>..\..\Imagery\ScannedGeochron\UPb\Gowe2008Fig4c.jpg</v>
      </c>
      <c r="S57" t="s">
        <v>322</v>
      </c>
    </row>
    <row r="58" spans="1:19" x14ac:dyDescent="0.25">
      <c r="A58" t="s">
        <v>323</v>
      </c>
      <c r="B58" t="s">
        <v>323</v>
      </c>
      <c r="C58" t="s">
        <v>21</v>
      </c>
      <c r="D58">
        <v>311983</v>
      </c>
      <c r="E58">
        <v>5846050</v>
      </c>
      <c r="F58">
        <v>21</v>
      </c>
      <c r="G58" t="s">
        <v>22</v>
      </c>
      <c r="I58" t="s">
        <v>324</v>
      </c>
      <c r="J58" t="s">
        <v>325</v>
      </c>
      <c r="K58">
        <v>868</v>
      </c>
      <c r="L58" t="s">
        <v>172</v>
      </c>
      <c r="M58" t="s">
        <v>36</v>
      </c>
      <c r="N58" t="s">
        <v>320</v>
      </c>
      <c r="O58" t="s">
        <v>160</v>
      </c>
      <c r="P58" t="s">
        <v>212</v>
      </c>
      <c r="Q58" t="s">
        <v>181</v>
      </c>
      <c r="R58" s="3" t="str">
        <f>HYPERLINK("..\..\Imagery\ScannedGeochron\UPb\Gowe2008Fig4f.jpg")</f>
        <v>..\..\Imagery\ScannedGeochron\UPb\Gowe2008Fig4f.jpg</v>
      </c>
      <c r="S58" t="s">
        <v>326</v>
      </c>
    </row>
    <row r="59" spans="1:19" x14ac:dyDescent="0.25">
      <c r="A59" t="s">
        <v>327</v>
      </c>
      <c r="B59" t="s">
        <v>328</v>
      </c>
      <c r="C59" t="s">
        <v>21</v>
      </c>
      <c r="D59">
        <v>422605</v>
      </c>
      <c r="E59">
        <v>5774107</v>
      </c>
      <c r="F59">
        <v>21</v>
      </c>
      <c r="G59" t="s">
        <v>22</v>
      </c>
      <c r="H59" t="s">
        <v>23</v>
      </c>
      <c r="I59" t="s">
        <v>329</v>
      </c>
      <c r="J59" t="s">
        <v>330</v>
      </c>
      <c r="K59">
        <v>1632</v>
      </c>
      <c r="L59" t="s">
        <v>198</v>
      </c>
      <c r="M59" t="s">
        <v>36</v>
      </c>
      <c r="N59" t="s">
        <v>28</v>
      </c>
      <c r="O59" t="s">
        <v>160</v>
      </c>
      <c r="P59" t="s">
        <v>30</v>
      </c>
      <c r="Q59" t="s">
        <v>181</v>
      </c>
      <c r="R59" s="3" t="str">
        <f>HYPERLINK("..\..\Imagery\ScannedGeochron\UPb\Gowe2008Fig5c.jpg")</f>
        <v>..\..\Imagery\ScannedGeochron\UPb\Gowe2008Fig5c.jpg</v>
      </c>
      <c r="S59" t="s">
        <v>331</v>
      </c>
    </row>
    <row r="60" spans="1:19" x14ac:dyDescent="0.25">
      <c r="A60" t="s">
        <v>327</v>
      </c>
      <c r="B60" t="s">
        <v>332</v>
      </c>
      <c r="C60" t="s">
        <v>21</v>
      </c>
      <c r="D60">
        <v>422605</v>
      </c>
      <c r="E60">
        <v>5774107</v>
      </c>
      <c r="F60">
        <v>21</v>
      </c>
      <c r="G60" t="s">
        <v>22</v>
      </c>
      <c r="H60" t="s">
        <v>23</v>
      </c>
      <c r="I60" t="s">
        <v>333</v>
      </c>
      <c r="J60" t="s">
        <v>334</v>
      </c>
      <c r="K60">
        <v>970</v>
      </c>
      <c r="L60" t="s">
        <v>198</v>
      </c>
      <c r="M60" t="s">
        <v>36</v>
      </c>
      <c r="N60" t="s">
        <v>28</v>
      </c>
      <c r="O60" t="s">
        <v>309</v>
      </c>
      <c r="P60" t="s">
        <v>30</v>
      </c>
      <c r="Q60" t="s">
        <v>181</v>
      </c>
      <c r="R60" s="3" t="str">
        <f>HYPERLINK("..\..\Imagery\ScannedGeochron\UPb\Gowe2008Fig5d.jpg")</f>
        <v>..\..\Imagery\ScannedGeochron\UPb\Gowe2008Fig5d.jpg</v>
      </c>
    </row>
    <row r="61" spans="1:19" x14ac:dyDescent="0.25">
      <c r="A61" t="s">
        <v>335</v>
      </c>
      <c r="B61" t="s">
        <v>336</v>
      </c>
      <c r="C61" t="s">
        <v>21</v>
      </c>
      <c r="D61">
        <v>372580</v>
      </c>
      <c r="E61">
        <v>5783976</v>
      </c>
      <c r="F61">
        <v>21</v>
      </c>
      <c r="G61" t="s">
        <v>22</v>
      </c>
      <c r="H61" t="s">
        <v>23</v>
      </c>
      <c r="I61" t="s">
        <v>337</v>
      </c>
      <c r="J61" t="s">
        <v>338</v>
      </c>
      <c r="K61">
        <v>1661</v>
      </c>
      <c r="L61" t="s">
        <v>198</v>
      </c>
      <c r="M61" t="s">
        <v>36</v>
      </c>
      <c r="N61" t="s">
        <v>28</v>
      </c>
      <c r="O61" t="s">
        <v>339</v>
      </c>
      <c r="P61" t="s">
        <v>97</v>
      </c>
      <c r="Q61" t="s">
        <v>181</v>
      </c>
      <c r="R61" s="3" t="str">
        <f>HYPERLINK("..\..\Imagery\ScannedGeochron\UPb\Gowe2008Fig5e.jpg")</f>
        <v>..\..\Imagery\ScannedGeochron\UPb\Gowe2008Fig5e.jpg</v>
      </c>
    </row>
    <row r="62" spans="1:19" x14ac:dyDescent="0.25">
      <c r="A62" t="s">
        <v>340</v>
      </c>
      <c r="B62" t="s">
        <v>340</v>
      </c>
      <c r="C62" t="s">
        <v>21</v>
      </c>
      <c r="D62">
        <v>447200</v>
      </c>
      <c r="E62">
        <v>5924550</v>
      </c>
      <c r="F62">
        <v>21</v>
      </c>
      <c r="G62" t="s">
        <v>22</v>
      </c>
      <c r="I62" t="s">
        <v>341</v>
      </c>
      <c r="J62" t="s">
        <v>342</v>
      </c>
      <c r="K62">
        <v>393</v>
      </c>
      <c r="L62" t="s">
        <v>69</v>
      </c>
      <c r="M62" t="s">
        <v>36</v>
      </c>
      <c r="N62" t="s">
        <v>320</v>
      </c>
      <c r="O62" t="s">
        <v>343</v>
      </c>
      <c r="P62" t="s">
        <v>212</v>
      </c>
      <c r="Q62" t="s">
        <v>40</v>
      </c>
      <c r="R62" s="3" t="str">
        <f>HYPERLINK("..\..\Imagery\ScannedGeochron\UPb\Scha1988Fig4a.jpg")</f>
        <v>..\..\Imagery\ScannedGeochron\UPb\Scha1988Fig4a.jpg</v>
      </c>
      <c r="S62" t="s">
        <v>344</v>
      </c>
    </row>
    <row r="63" spans="1:19" x14ac:dyDescent="0.25">
      <c r="A63" t="s">
        <v>345</v>
      </c>
      <c r="B63" t="s">
        <v>345</v>
      </c>
      <c r="C63" t="s">
        <v>21</v>
      </c>
      <c r="D63">
        <v>575777</v>
      </c>
      <c r="E63">
        <v>5827833</v>
      </c>
      <c r="F63">
        <v>21</v>
      </c>
      <c r="G63" t="s">
        <v>22</v>
      </c>
      <c r="I63" t="s">
        <v>346</v>
      </c>
      <c r="J63" t="s">
        <v>347</v>
      </c>
      <c r="K63">
        <v>482</v>
      </c>
      <c r="L63" t="s">
        <v>69</v>
      </c>
      <c r="M63" t="s">
        <v>36</v>
      </c>
      <c r="N63" t="s">
        <v>320</v>
      </c>
      <c r="O63" t="s">
        <v>348</v>
      </c>
      <c r="P63" t="s">
        <v>212</v>
      </c>
      <c r="Q63" t="s">
        <v>349</v>
      </c>
      <c r="R63" s="3" t="str">
        <f>HYPERLINK("..\..\Imagery\ScannedGeochron\UPb\Gowe1991Fig3a.jpg")</f>
        <v>..\..\Imagery\ScannedGeochron\UPb\Gowe1991Fig3a.jpg</v>
      </c>
      <c r="S63" t="s">
        <v>344</v>
      </c>
    </row>
    <row r="64" spans="1:19" x14ac:dyDescent="0.25">
      <c r="A64" t="s">
        <v>151</v>
      </c>
      <c r="B64" t="s">
        <v>350</v>
      </c>
      <c r="C64" t="s">
        <v>21</v>
      </c>
      <c r="D64">
        <v>480915</v>
      </c>
      <c r="E64">
        <v>5931165</v>
      </c>
      <c r="F64">
        <v>21</v>
      </c>
      <c r="G64" t="s">
        <v>22</v>
      </c>
      <c r="H64" t="s">
        <v>23</v>
      </c>
      <c r="I64" t="s">
        <v>351</v>
      </c>
      <c r="J64" t="s">
        <v>352</v>
      </c>
      <c r="K64">
        <v>508</v>
      </c>
      <c r="L64" t="s">
        <v>26</v>
      </c>
      <c r="M64" t="s">
        <v>36</v>
      </c>
      <c r="N64" t="s">
        <v>320</v>
      </c>
      <c r="O64" t="s">
        <v>353</v>
      </c>
      <c r="P64" t="s">
        <v>212</v>
      </c>
      <c r="Q64" t="s">
        <v>291</v>
      </c>
      <c r="R64" s="3" t="str">
        <f>HYPERLINK("..\..\Imagery\ScannedGeochron\UPb\Gowe1992Fig4a.jpg")</f>
        <v>..\..\Imagery\ScannedGeochron\UPb\Gowe1992Fig4a.jpg</v>
      </c>
    </row>
    <row r="65" spans="1:19" x14ac:dyDescent="0.25">
      <c r="A65" t="s">
        <v>354</v>
      </c>
      <c r="B65" t="s">
        <v>355</v>
      </c>
      <c r="C65" t="s">
        <v>21</v>
      </c>
      <c r="D65">
        <v>578054</v>
      </c>
      <c r="E65">
        <v>5829074</v>
      </c>
      <c r="F65">
        <v>21</v>
      </c>
      <c r="G65" t="s">
        <v>22</v>
      </c>
      <c r="I65" t="s">
        <v>356</v>
      </c>
      <c r="J65" t="s">
        <v>357</v>
      </c>
      <c r="K65">
        <v>955</v>
      </c>
      <c r="L65" t="s">
        <v>69</v>
      </c>
      <c r="M65" t="s">
        <v>103</v>
      </c>
      <c r="N65" t="s">
        <v>58</v>
      </c>
      <c r="O65" t="s">
        <v>358</v>
      </c>
      <c r="P65" t="s">
        <v>359</v>
      </c>
      <c r="Q65" t="s">
        <v>174</v>
      </c>
      <c r="R65" s="3" t="str">
        <f>HYPERLINK("..\..\Imagery\ScannedGeochron\UPb\Wast1997Fig7.jpg")</f>
        <v>..\..\Imagery\ScannedGeochron\UPb\Wast1997Fig7.jpg</v>
      </c>
    </row>
    <row r="66" spans="1:19" x14ac:dyDescent="0.25">
      <c r="A66" t="s">
        <v>354</v>
      </c>
      <c r="B66" t="s">
        <v>355</v>
      </c>
      <c r="C66" t="s">
        <v>21</v>
      </c>
      <c r="D66">
        <v>578054</v>
      </c>
      <c r="E66">
        <v>5829074</v>
      </c>
      <c r="F66">
        <v>21</v>
      </c>
      <c r="G66" t="s">
        <v>22</v>
      </c>
      <c r="I66" t="s">
        <v>356</v>
      </c>
      <c r="J66" t="s">
        <v>360</v>
      </c>
      <c r="K66">
        <v>974</v>
      </c>
      <c r="L66" t="s">
        <v>69</v>
      </c>
      <c r="M66" t="s">
        <v>36</v>
      </c>
      <c r="N66" t="s">
        <v>58</v>
      </c>
      <c r="O66" t="s">
        <v>361</v>
      </c>
      <c r="P66" t="s">
        <v>30</v>
      </c>
      <c r="Q66" t="s">
        <v>174</v>
      </c>
      <c r="R66" s="3" t="str">
        <f>HYPERLINK("..\..\Imagery\ScannedGeochron\UPb\Wast1997Fig7.jpg")</f>
        <v>..\..\Imagery\ScannedGeochron\UPb\Wast1997Fig7.jpg</v>
      </c>
    </row>
    <row r="67" spans="1:19" x14ac:dyDescent="0.25">
      <c r="A67" t="s">
        <v>362</v>
      </c>
      <c r="B67" t="s">
        <v>362</v>
      </c>
      <c r="C67" t="s">
        <v>21</v>
      </c>
      <c r="D67">
        <v>379094</v>
      </c>
      <c r="E67">
        <v>5982569</v>
      </c>
      <c r="F67">
        <v>21</v>
      </c>
      <c r="G67" t="s">
        <v>22</v>
      </c>
      <c r="I67" t="s">
        <v>363</v>
      </c>
      <c r="J67" t="s">
        <v>364</v>
      </c>
      <c r="K67">
        <v>1026</v>
      </c>
      <c r="L67" t="s">
        <v>69</v>
      </c>
      <c r="M67" t="s">
        <v>103</v>
      </c>
      <c r="N67" t="s">
        <v>104</v>
      </c>
      <c r="O67" t="s">
        <v>365</v>
      </c>
      <c r="P67" t="s">
        <v>39</v>
      </c>
      <c r="Q67" t="s">
        <v>79</v>
      </c>
      <c r="R67" s="3" t="str">
        <f>HYPERLINK("..\..\Imagery\ScannedGeochron\UPb\Scha1986Fig8b.jpg")</f>
        <v>..\..\Imagery\ScannedGeochron\UPb\Scha1986Fig8b.jpg</v>
      </c>
      <c r="S67" t="s">
        <v>366</v>
      </c>
    </row>
    <row r="68" spans="1:19" x14ac:dyDescent="0.25">
      <c r="A68" t="s">
        <v>367</v>
      </c>
      <c r="B68" t="s">
        <v>368</v>
      </c>
      <c r="C68" t="s">
        <v>21</v>
      </c>
      <c r="D68">
        <v>412948</v>
      </c>
      <c r="E68">
        <v>5971531</v>
      </c>
      <c r="F68">
        <v>21</v>
      </c>
      <c r="G68" t="s">
        <v>22</v>
      </c>
      <c r="H68" t="s">
        <v>23</v>
      </c>
      <c r="I68" t="s">
        <v>369</v>
      </c>
      <c r="J68" t="s">
        <v>370</v>
      </c>
      <c r="K68">
        <v>1038</v>
      </c>
      <c r="L68" t="s">
        <v>69</v>
      </c>
      <c r="M68" t="s">
        <v>36</v>
      </c>
      <c r="N68" t="s">
        <v>28</v>
      </c>
      <c r="O68" t="s">
        <v>371</v>
      </c>
      <c r="P68" t="s">
        <v>39</v>
      </c>
      <c r="Q68" t="s">
        <v>79</v>
      </c>
      <c r="R68" s="3" t="str">
        <f>HYPERLINK("..\..\Imagery\ScannedGeochron\UPb\Scha1986Fig8a.jpg")</f>
        <v>..\..\Imagery\ScannedGeochron\UPb\Scha1986Fig8a.jpg</v>
      </c>
    </row>
    <row r="69" spans="1:19" x14ac:dyDescent="0.25">
      <c r="A69" t="s">
        <v>372</v>
      </c>
      <c r="B69" t="s">
        <v>373</v>
      </c>
      <c r="C69" t="s">
        <v>21</v>
      </c>
      <c r="D69">
        <v>399000</v>
      </c>
      <c r="E69">
        <v>5994025</v>
      </c>
      <c r="F69">
        <v>21</v>
      </c>
      <c r="G69" t="s">
        <v>22</v>
      </c>
      <c r="I69" t="s">
        <v>374</v>
      </c>
      <c r="J69" t="s">
        <v>375</v>
      </c>
      <c r="K69">
        <v>1046</v>
      </c>
      <c r="L69" t="s">
        <v>69</v>
      </c>
      <c r="M69" t="s">
        <v>263</v>
      </c>
      <c r="N69" t="s">
        <v>58</v>
      </c>
      <c r="O69" t="s">
        <v>376</v>
      </c>
      <c r="P69" t="s">
        <v>39</v>
      </c>
      <c r="Q69" t="s">
        <v>71</v>
      </c>
      <c r="R69" s="3" t="str">
        <f>HYPERLINK("..\..\Imagery\ScannedGeochron\UPb\Corr2000Fig11a.jpg")</f>
        <v>..\..\Imagery\ScannedGeochron\UPb\Corr2000Fig11a.jpg</v>
      </c>
      <c r="S69" t="s">
        <v>377</v>
      </c>
    </row>
    <row r="70" spans="1:19" x14ac:dyDescent="0.25">
      <c r="A70" t="s">
        <v>378</v>
      </c>
      <c r="B70" t="s">
        <v>379</v>
      </c>
      <c r="C70" t="s">
        <v>21</v>
      </c>
      <c r="D70">
        <v>407730</v>
      </c>
      <c r="E70">
        <v>5996450</v>
      </c>
      <c r="F70">
        <v>21</v>
      </c>
      <c r="G70" t="s">
        <v>22</v>
      </c>
      <c r="I70" t="s">
        <v>380</v>
      </c>
      <c r="J70" t="s">
        <v>381</v>
      </c>
      <c r="K70">
        <v>1056</v>
      </c>
      <c r="L70" t="s">
        <v>69</v>
      </c>
      <c r="M70" t="s">
        <v>36</v>
      </c>
      <c r="N70" t="s">
        <v>104</v>
      </c>
      <c r="O70" t="s">
        <v>382</v>
      </c>
      <c r="P70" t="s">
        <v>30</v>
      </c>
      <c r="Q70" t="s">
        <v>71</v>
      </c>
      <c r="R70" s="3" t="str">
        <f>HYPERLINK("..\..\Imagery\ScannedGeochron\UPb\Corr2000Fig8b.jpg")</f>
        <v>..\..\Imagery\ScannedGeochron\UPb\Corr2000Fig8b.jpg</v>
      </c>
    </row>
    <row r="71" spans="1:19" x14ac:dyDescent="0.25">
      <c r="A71" t="s">
        <v>372</v>
      </c>
      <c r="B71" t="s">
        <v>373</v>
      </c>
      <c r="C71" t="s">
        <v>21</v>
      </c>
      <c r="D71">
        <v>399000</v>
      </c>
      <c r="E71">
        <v>5994025</v>
      </c>
      <c r="F71">
        <v>21</v>
      </c>
      <c r="G71" t="s">
        <v>22</v>
      </c>
      <c r="I71" t="s">
        <v>374</v>
      </c>
      <c r="J71" t="s">
        <v>383</v>
      </c>
      <c r="K71">
        <v>1057</v>
      </c>
      <c r="L71" t="s">
        <v>69</v>
      </c>
      <c r="M71" t="s">
        <v>263</v>
      </c>
      <c r="N71" t="s">
        <v>58</v>
      </c>
      <c r="O71" t="s">
        <v>384</v>
      </c>
      <c r="P71" t="s">
        <v>39</v>
      </c>
      <c r="Q71" t="s">
        <v>71</v>
      </c>
      <c r="R71" s="3" t="str">
        <f>HYPERLINK("..\..\Imagery\ScannedGeochron\UPb\Corr2000Fig11a.jpg")</f>
        <v>..\..\Imagery\ScannedGeochron\UPb\Corr2000Fig11a.jpg</v>
      </c>
      <c r="S71" t="s">
        <v>377</v>
      </c>
    </row>
    <row r="72" spans="1:19" x14ac:dyDescent="0.25">
      <c r="A72" t="s">
        <v>385</v>
      </c>
      <c r="B72" t="s">
        <v>386</v>
      </c>
      <c r="C72" t="s">
        <v>21</v>
      </c>
      <c r="D72">
        <v>585432</v>
      </c>
      <c r="E72">
        <v>5812031</v>
      </c>
      <c r="F72">
        <v>21</v>
      </c>
      <c r="G72" t="s">
        <v>22</v>
      </c>
      <c r="I72" t="s">
        <v>387</v>
      </c>
      <c r="J72" t="s">
        <v>388</v>
      </c>
      <c r="K72">
        <v>1062</v>
      </c>
      <c r="L72" t="s">
        <v>69</v>
      </c>
      <c r="M72" t="s">
        <v>36</v>
      </c>
      <c r="N72" t="s">
        <v>320</v>
      </c>
      <c r="O72" t="s">
        <v>52</v>
      </c>
      <c r="P72" t="s">
        <v>30</v>
      </c>
      <c r="Q72" t="s">
        <v>389</v>
      </c>
      <c r="R72" s="3" t="str">
        <f>HYPERLINK("..\..\Imagery\ScannedGeochron\UPb\Scot1993Fig3e.jpg")</f>
        <v>..\..\Imagery\ScannedGeochron\UPb\Scot1993Fig3e.jpg</v>
      </c>
      <c r="S72" t="s">
        <v>390</v>
      </c>
    </row>
    <row r="73" spans="1:19" x14ac:dyDescent="0.25">
      <c r="A73" t="s">
        <v>391</v>
      </c>
      <c r="B73" t="s">
        <v>391</v>
      </c>
      <c r="C73" t="s">
        <v>21</v>
      </c>
      <c r="D73">
        <v>556825</v>
      </c>
      <c r="E73">
        <v>5822411</v>
      </c>
      <c r="F73">
        <v>21</v>
      </c>
      <c r="G73" t="s">
        <v>22</v>
      </c>
      <c r="I73" t="s">
        <v>392</v>
      </c>
      <c r="J73" t="s">
        <v>393</v>
      </c>
      <c r="K73">
        <v>1077</v>
      </c>
      <c r="L73" t="s">
        <v>69</v>
      </c>
      <c r="M73" t="s">
        <v>263</v>
      </c>
      <c r="N73" t="s">
        <v>104</v>
      </c>
      <c r="O73" t="s">
        <v>394</v>
      </c>
      <c r="P73" t="s">
        <v>39</v>
      </c>
      <c r="Q73" t="s">
        <v>389</v>
      </c>
      <c r="R73" s="3" t="str">
        <f>HYPERLINK("..\..\Imagery\ScannedGeochron\UPb\Scot1993Fig3c.jpg")</f>
        <v>..\..\Imagery\ScannedGeochron\UPb\Scot1993Fig3c.jpg</v>
      </c>
    </row>
    <row r="74" spans="1:19" x14ac:dyDescent="0.25">
      <c r="A74" t="s">
        <v>395</v>
      </c>
      <c r="B74" t="s">
        <v>396</v>
      </c>
      <c r="C74" t="s">
        <v>21</v>
      </c>
      <c r="D74">
        <v>400299</v>
      </c>
      <c r="E74">
        <v>5994820</v>
      </c>
      <c r="F74">
        <v>21</v>
      </c>
      <c r="G74" t="s">
        <v>22</v>
      </c>
      <c r="I74" t="s">
        <v>397</v>
      </c>
      <c r="J74" t="s">
        <v>398</v>
      </c>
      <c r="K74">
        <v>1080</v>
      </c>
      <c r="L74" t="s">
        <v>69</v>
      </c>
      <c r="M74" t="s">
        <v>36</v>
      </c>
      <c r="N74" t="s">
        <v>104</v>
      </c>
      <c r="O74" t="s">
        <v>399</v>
      </c>
      <c r="P74" t="s">
        <v>39</v>
      </c>
      <c r="Q74" t="s">
        <v>71</v>
      </c>
      <c r="R74" s="3" t="str">
        <f>HYPERLINK("..\..\Imagery\ScannedGeochron\UPb\Corr2000Fig8a.jpg")</f>
        <v>..\..\Imagery\ScannedGeochron\UPb\Corr2000Fig8a.jpg</v>
      </c>
    </row>
    <row r="75" spans="1:19" x14ac:dyDescent="0.25">
      <c r="A75" t="s">
        <v>400</v>
      </c>
      <c r="B75" t="s">
        <v>400</v>
      </c>
      <c r="C75" t="s">
        <v>21</v>
      </c>
      <c r="D75">
        <v>570516</v>
      </c>
      <c r="E75">
        <v>5827699</v>
      </c>
      <c r="F75">
        <v>21</v>
      </c>
      <c r="G75" t="s">
        <v>22</v>
      </c>
      <c r="I75" t="s">
        <v>401</v>
      </c>
      <c r="J75" t="s">
        <v>402</v>
      </c>
      <c r="K75">
        <v>1078</v>
      </c>
      <c r="L75" t="s">
        <v>69</v>
      </c>
      <c r="M75" t="s">
        <v>263</v>
      </c>
      <c r="N75" t="s">
        <v>58</v>
      </c>
      <c r="O75" t="s">
        <v>166</v>
      </c>
      <c r="P75" t="s">
        <v>39</v>
      </c>
      <c r="Q75" t="s">
        <v>389</v>
      </c>
      <c r="R75" s="3" t="str">
        <f>HYPERLINK("..\..\Imagery\ScannedGeochron\UPb\Scot1993Fig3a.jpg")</f>
        <v>..\..\Imagery\ScannedGeochron\UPb\Scot1993Fig3a.jpg</v>
      </c>
    </row>
    <row r="76" spans="1:19" x14ac:dyDescent="0.25">
      <c r="A76" t="s">
        <v>340</v>
      </c>
      <c r="B76" t="s">
        <v>340</v>
      </c>
      <c r="C76" t="s">
        <v>21</v>
      </c>
      <c r="D76">
        <v>447200</v>
      </c>
      <c r="E76">
        <v>5924550</v>
      </c>
      <c r="F76">
        <v>21</v>
      </c>
      <c r="G76" t="s">
        <v>22</v>
      </c>
      <c r="I76" t="s">
        <v>341</v>
      </c>
      <c r="J76" t="s">
        <v>403</v>
      </c>
      <c r="K76">
        <v>1079</v>
      </c>
      <c r="L76" t="s">
        <v>69</v>
      </c>
      <c r="M76" t="s">
        <v>36</v>
      </c>
      <c r="N76" t="s">
        <v>28</v>
      </c>
      <c r="O76" t="s">
        <v>343</v>
      </c>
      <c r="P76" t="s">
        <v>30</v>
      </c>
      <c r="Q76" t="s">
        <v>40</v>
      </c>
      <c r="R76" s="3" t="str">
        <f>HYPERLINK("..\..\Imagery\ScannedGeochron\UPb\Scha1988Fig4a.jpg")</f>
        <v>..\..\Imagery\ScannedGeochron\UPb\Scha1988Fig4a.jpg</v>
      </c>
      <c r="S76" t="s">
        <v>404</v>
      </c>
    </row>
    <row r="77" spans="1:19" x14ac:dyDescent="0.25">
      <c r="A77" t="s">
        <v>372</v>
      </c>
      <c r="B77" t="s">
        <v>373</v>
      </c>
      <c r="C77" t="s">
        <v>21</v>
      </c>
      <c r="D77">
        <v>399000</v>
      </c>
      <c r="E77">
        <v>5994025</v>
      </c>
      <c r="F77">
        <v>21</v>
      </c>
      <c r="G77" t="s">
        <v>22</v>
      </c>
      <c r="I77" t="s">
        <v>374</v>
      </c>
      <c r="J77" t="s">
        <v>405</v>
      </c>
      <c r="K77">
        <v>1088</v>
      </c>
      <c r="L77" t="s">
        <v>69</v>
      </c>
      <c r="M77" t="s">
        <v>263</v>
      </c>
      <c r="N77" t="s">
        <v>58</v>
      </c>
      <c r="O77" t="s">
        <v>406</v>
      </c>
      <c r="P77" t="s">
        <v>39</v>
      </c>
      <c r="Q77" t="s">
        <v>71</v>
      </c>
      <c r="R77" s="3" t="str">
        <f>HYPERLINK("..\..\Imagery\ScannedGeochron\UPb\Corr2000Fig11a.jpg")</f>
        <v>..\..\Imagery\ScannedGeochron\UPb\Corr2000Fig11a.jpg</v>
      </c>
      <c r="S77" t="s">
        <v>377</v>
      </c>
    </row>
    <row r="78" spans="1:19" x14ac:dyDescent="0.25">
      <c r="A78" t="s">
        <v>407</v>
      </c>
      <c r="B78" t="s">
        <v>407</v>
      </c>
      <c r="C78" t="s">
        <v>21</v>
      </c>
      <c r="D78">
        <v>411624</v>
      </c>
      <c r="E78">
        <v>5904951</v>
      </c>
      <c r="F78">
        <v>21</v>
      </c>
      <c r="G78" t="s">
        <v>22</v>
      </c>
      <c r="I78" t="s">
        <v>408</v>
      </c>
      <c r="J78" t="s">
        <v>409</v>
      </c>
      <c r="K78">
        <v>1786</v>
      </c>
      <c r="L78" t="s">
        <v>172</v>
      </c>
      <c r="M78" t="s">
        <v>36</v>
      </c>
      <c r="N78" t="s">
        <v>28</v>
      </c>
      <c r="O78" t="s">
        <v>160</v>
      </c>
      <c r="P78" t="s">
        <v>30</v>
      </c>
      <c r="Q78" t="s">
        <v>181</v>
      </c>
      <c r="R78" s="3" t="str">
        <f>HYPERLINK("..\..\Imagery\ScannedGeochron\UPb\Gowe2008Fig3c.jpg")</f>
        <v>..\..\Imagery\ScannedGeochron\UPb\Gowe2008Fig3c.jpg</v>
      </c>
    </row>
    <row r="79" spans="1:19" x14ac:dyDescent="0.25">
      <c r="A79" t="s">
        <v>240</v>
      </c>
      <c r="B79" t="s">
        <v>241</v>
      </c>
      <c r="C79" t="s">
        <v>21</v>
      </c>
      <c r="D79">
        <v>416650</v>
      </c>
      <c r="E79">
        <v>5875024</v>
      </c>
      <c r="F79">
        <v>21</v>
      </c>
      <c r="G79" t="s">
        <v>22</v>
      </c>
      <c r="H79" t="s">
        <v>23</v>
      </c>
      <c r="I79" t="s">
        <v>242</v>
      </c>
      <c r="J79" t="s">
        <v>410</v>
      </c>
      <c r="K79">
        <v>1894</v>
      </c>
      <c r="L79" t="s">
        <v>172</v>
      </c>
      <c r="M79" t="s">
        <v>36</v>
      </c>
      <c r="N79" t="s">
        <v>28</v>
      </c>
      <c r="O79" t="s">
        <v>411</v>
      </c>
      <c r="P79" t="s">
        <v>180</v>
      </c>
      <c r="Q79" t="s">
        <v>181</v>
      </c>
      <c r="R79" s="3" t="str">
        <f>HYPERLINK("..\..\Imagery\ScannedGeochron\UPb\Gowe2008Fig3a.jpg")</f>
        <v>..\..\Imagery\ScannedGeochron\UPb\Gowe2008Fig3a.jpg</v>
      </c>
      <c r="S79" t="s">
        <v>412</v>
      </c>
    </row>
    <row r="80" spans="1:19" x14ac:dyDescent="0.25">
      <c r="A80" t="s">
        <v>413</v>
      </c>
      <c r="B80" t="s">
        <v>414</v>
      </c>
      <c r="C80" t="s">
        <v>21</v>
      </c>
      <c r="D80">
        <v>447658</v>
      </c>
      <c r="E80">
        <v>5898785</v>
      </c>
      <c r="F80">
        <v>21</v>
      </c>
      <c r="G80" t="s">
        <v>22</v>
      </c>
      <c r="H80" t="s">
        <v>23</v>
      </c>
      <c r="I80" t="s">
        <v>415</v>
      </c>
      <c r="J80" t="s">
        <v>416</v>
      </c>
      <c r="K80">
        <v>254</v>
      </c>
      <c r="L80" t="s">
        <v>417</v>
      </c>
      <c r="M80" t="s">
        <v>103</v>
      </c>
      <c r="N80" t="s">
        <v>252</v>
      </c>
      <c r="O80" t="s">
        <v>418</v>
      </c>
      <c r="P80" t="s">
        <v>212</v>
      </c>
      <c r="Q80" t="s">
        <v>79</v>
      </c>
      <c r="R80" s="3" t="str">
        <f>HYPERLINK("..\..\Imagery\ScannedGeochron\UPb\Scha1986Fig9b.jpg")</f>
        <v>..\..\Imagery\ScannedGeochron\UPb\Scha1986Fig9b.jpg</v>
      </c>
      <c r="S80" t="s">
        <v>344</v>
      </c>
    </row>
    <row r="81" spans="1:19" x14ac:dyDescent="0.25">
      <c r="A81" t="s">
        <v>413</v>
      </c>
      <c r="B81" t="s">
        <v>419</v>
      </c>
      <c r="C81" t="s">
        <v>21</v>
      </c>
      <c r="D81">
        <v>447658</v>
      </c>
      <c r="E81">
        <v>5898785</v>
      </c>
      <c r="F81">
        <v>21</v>
      </c>
      <c r="G81" t="s">
        <v>22</v>
      </c>
      <c r="H81" t="s">
        <v>23</v>
      </c>
      <c r="I81" t="s">
        <v>420</v>
      </c>
      <c r="J81" t="s">
        <v>421</v>
      </c>
      <c r="K81">
        <v>1003</v>
      </c>
      <c r="L81" t="s">
        <v>69</v>
      </c>
      <c r="M81" t="s">
        <v>103</v>
      </c>
      <c r="N81" t="s">
        <v>104</v>
      </c>
      <c r="O81" t="s">
        <v>422</v>
      </c>
      <c r="P81" t="s">
        <v>30</v>
      </c>
      <c r="Q81" t="s">
        <v>349</v>
      </c>
      <c r="R81" s="3" t="str">
        <f>HYPERLINK("..\..\Imagery\ScannedGeochron\UPb\Gowe1991Fig3b.jpg")</f>
        <v>..\..\Imagery\ScannedGeochron\UPb\Gowe1991Fig3b.jpg</v>
      </c>
      <c r="S81" t="s">
        <v>423</v>
      </c>
    </row>
    <row r="82" spans="1:19" x14ac:dyDescent="0.25">
      <c r="A82" t="s">
        <v>413</v>
      </c>
      <c r="B82" t="s">
        <v>414</v>
      </c>
      <c r="C82" t="s">
        <v>21</v>
      </c>
      <c r="D82">
        <v>447658</v>
      </c>
      <c r="E82">
        <v>5898785</v>
      </c>
      <c r="F82">
        <v>21</v>
      </c>
      <c r="G82" t="s">
        <v>22</v>
      </c>
      <c r="H82" t="s">
        <v>23</v>
      </c>
      <c r="I82" t="s">
        <v>415</v>
      </c>
      <c r="J82" t="s">
        <v>308</v>
      </c>
      <c r="K82">
        <v>1030</v>
      </c>
      <c r="L82" t="s">
        <v>69</v>
      </c>
      <c r="M82" t="s">
        <v>263</v>
      </c>
      <c r="N82" t="s">
        <v>58</v>
      </c>
      <c r="O82" t="s">
        <v>424</v>
      </c>
      <c r="P82" t="s">
        <v>39</v>
      </c>
      <c r="Q82" t="s">
        <v>79</v>
      </c>
      <c r="R82" s="3" t="str">
        <f>HYPERLINK("..\..\Imagery\ScannedGeochron\UPb\Scha1986Fig9b.jpg")</f>
        <v>..\..\Imagery\ScannedGeochron\UPb\Scha1986Fig9b.jpg</v>
      </c>
      <c r="S82" t="s">
        <v>425</v>
      </c>
    </row>
    <row r="83" spans="1:19" x14ac:dyDescent="0.25">
      <c r="A83" t="s">
        <v>413</v>
      </c>
      <c r="B83" t="s">
        <v>414</v>
      </c>
      <c r="C83" t="s">
        <v>21</v>
      </c>
      <c r="D83">
        <v>447658</v>
      </c>
      <c r="E83">
        <v>5898785</v>
      </c>
      <c r="F83">
        <v>21</v>
      </c>
      <c r="G83" t="s">
        <v>22</v>
      </c>
      <c r="H83" t="s">
        <v>23</v>
      </c>
      <c r="I83" t="s">
        <v>415</v>
      </c>
      <c r="J83" t="s">
        <v>308</v>
      </c>
      <c r="K83">
        <v>1030</v>
      </c>
      <c r="L83" t="s">
        <v>69</v>
      </c>
      <c r="M83" t="s">
        <v>103</v>
      </c>
      <c r="N83" t="s">
        <v>28</v>
      </c>
      <c r="O83" t="s">
        <v>418</v>
      </c>
      <c r="P83" t="s">
        <v>39</v>
      </c>
      <c r="Q83" t="s">
        <v>79</v>
      </c>
      <c r="R83" s="3" t="str">
        <f>HYPERLINK("..\..\Imagery\ScannedGeochron\UPb\Scha1986Fig9b.jpg")</f>
        <v>..\..\Imagery\ScannedGeochron\UPb\Scha1986Fig9b.jpg</v>
      </c>
      <c r="S83" t="s">
        <v>426</v>
      </c>
    </row>
    <row r="84" spans="1:19" x14ac:dyDescent="0.25">
      <c r="A84" t="s">
        <v>427</v>
      </c>
      <c r="B84" t="s">
        <v>428</v>
      </c>
      <c r="C84" t="s">
        <v>21</v>
      </c>
      <c r="D84">
        <v>472050</v>
      </c>
      <c r="E84">
        <v>5859375</v>
      </c>
      <c r="F84">
        <v>21</v>
      </c>
      <c r="G84" t="s">
        <v>22</v>
      </c>
      <c r="I84" t="s">
        <v>429</v>
      </c>
      <c r="J84" t="s">
        <v>430</v>
      </c>
      <c r="K84">
        <v>1038</v>
      </c>
      <c r="L84" t="s">
        <v>69</v>
      </c>
      <c r="M84" t="s">
        <v>263</v>
      </c>
      <c r="N84" t="s">
        <v>58</v>
      </c>
      <c r="O84" t="s">
        <v>431</v>
      </c>
      <c r="P84" t="s">
        <v>39</v>
      </c>
      <c r="Q84" t="s">
        <v>174</v>
      </c>
      <c r="R84" s="3" t="str">
        <f>HYPERLINK("..\..\Imagery\ScannedGeochron\UPb\Wast1997Fig5.jpg")</f>
        <v>..\..\Imagery\ScannedGeochron\UPb\Wast1997Fig5.jpg</v>
      </c>
    </row>
    <row r="85" spans="1:19" x14ac:dyDescent="0.25">
      <c r="A85" t="s">
        <v>427</v>
      </c>
      <c r="B85" t="s">
        <v>428</v>
      </c>
      <c r="C85" t="s">
        <v>21</v>
      </c>
      <c r="D85">
        <v>472050</v>
      </c>
      <c r="E85">
        <v>5859375</v>
      </c>
      <c r="F85">
        <v>21</v>
      </c>
      <c r="G85" t="s">
        <v>22</v>
      </c>
      <c r="I85" t="s">
        <v>429</v>
      </c>
      <c r="J85" t="s">
        <v>432</v>
      </c>
      <c r="K85">
        <v>1047</v>
      </c>
      <c r="L85" t="s">
        <v>69</v>
      </c>
      <c r="M85" t="s">
        <v>36</v>
      </c>
      <c r="N85" t="s">
        <v>104</v>
      </c>
      <c r="O85" t="s">
        <v>433</v>
      </c>
      <c r="P85" t="s">
        <v>30</v>
      </c>
      <c r="Q85" t="s">
        <v>174</v>
      </c>
      <c r="R85" s="3" t="str">
        <f>HYPERLINK("..\..\Imagery\ScannedGeochron\UPb\Wast1997Fig5.jpg")</f>
        <v>..\..\Imagery\ScannedGeochron\UPb\Wast1997Fig5.jpg</v>
      </c>
    </row>
    <row r="86" spans="1:19" x14ac:dyDescent="0.25">
      <c r="A86" t="s">
        <v>413</v>
      </c>
      <c r="B86" t="s">
        <v>414</v>
      </c>
      <c r="C86" t="s">
        <v>21</v>
      </c>
      <c r="D86">
        <v>447658</v>
      </c>
      <c r="E86">
        <v>5898785</v>
      </c>
      <c r="F86">
        <v>21</v>
      </c>
      <c r="G86" t="s">
        <v>22</v>
      </c>
      <c r="H86" t="s">
        <v>23</v>
      </c>
      <c r="I86" t="s">
        <v>415</v>
      </c>
      <c r="J86" t="s">
        <v>434</v>
      </c>
      <c r="K86">
        <v>1677</v>
      </c>
      <c r="L86" t="s">
        <v>417</v>
      </c>
      <c r="M86" t="s">
        <v>36</v>
      </c>
      <c r="N86" t="s">
        <v>37</v>
      </c>
      <c r="O86" t="s">
        <v>435</v>
      </c>
      <c r="P86" t="s">
        <v>30</v>
      </c>
      <c r="Q86" t="s">
        <v>79</v>
      </c>
      <c r="R86" s="3" t="str">
        <f>HYPERLINK("..\..\Imagery\ScannedGeochron\UPb\Scha1986Fig9b.jpg")</f>
        <v>..\..\Imagery\ScannedGeochron\UPb\Scha1986Fig9b.jpg</v>
      </c>
      <c r="S86" t="s">
        <v>436</v>
      </c>
    </row>
    <row r="87" spans="1:19" x14ac:dyDescent="0.25">
      <c r="A87" t="s">
        <v>413</v>
      </c>
      <c r="B87" t="s">
        <v>419</v>
      </c>
      <c r="C87" t="s">
        <v>21</v>
      </c>
      <c r="D87">
        <v>447658</v>
      </c>
      <c r="E87">
        <v>5898785</v>
      </c>
      <c r="F87">
        <v>21</v>
      </c>
      <c r="G87" t="s">
        <v>22</v>
      </c>
      <c r="H87" t="s">
        <v>23</v>
      </c>
      <c r="I87" t="s">
        <v>420</v>
      </c>
      <c r="J87" t="s">
        <v>437</v>
      </c>
      <c r="K87">
        <v>1690</v>
      </c>
      <c r="L87" t="s">
        <v>417</v>
      </c>
      <c r="M87" t="s">
        <v>36</v>
      </c>
      <c r="N87" t="s">
        <v>28</v>
      </c>
      <c r="O87" t="s">
        <v>438</v>
      </c>
      <c r="P87" t="s">
        <v>97</v>
      </c>
      <c r="Q87" t="s">
        <v>349</v>
      </c>
      <c r="R87" s="3" t="str">
        <f>HYPERLINK("..\..\Imagery\ScannedGeochron\UPb\Gowe1991Fig3b.jpg")</f>
        <v>..\..\Imagery\ScannedGeochron\UPb\Gowe1991Fig3b.jpg</v>
      </c>
      <c r="S87" t="s">
        <v>439</v>
      </c>
    </row>
    <row r="88" spans="1:19" x14ac:dyDescent="0.25">
      <c r="A88" t="s">
        <v>223</v>
      </c>
      <c r="B88" t="s">
        <v>223</v>
      </c>
      <c r="C88" t="s">
        <v>21</v>
      </c>
      <c r="D88">
        <v>530631</v>
      </c>
      <c r="E88">
        <v>5790718</v>
      </c>
      <c r="F88">
        <v>21</v>
      </c>
      <c r="G88" t="s">
        <v>22</v>
      </c>
      <c r="I88" t="s">
        <v>224</v>
      </c>
      <c r="J88" t="s">
        <v>440</v>
      </c>
      <c r="K88">
        <v>939</v>
      </c>
      <c r="L88" t="s">
        <v>198</v>
      </c>
      <c r="M88" t="s">
        <v>103</v>
      </c>
      <c r="N88" t="s">
        <v>58</v>
      </c>
      <c r="O88" t="s">
        <v>441</v>
      </c>
      <c r="P88" t="s">
        <v>359</v>
      </c>
      <c r="Q88" t="s">
        <v>174</v>
      </c>
      <c r="R88" s="3" t="str">
        <f>HYPERLINK("..\..\Imagery\ScannedGeochron\UPb\Wast1997Fig4d.jpg")</f>
        <v>..\..\Imagery\ScannedGeochron\UPb\Wast1997Fig4d.jpg</v>
      </c>
    </row>
    <row r="89" spans="1:19" x14ac:dyDescent="0.25">
      <c r="A89" t="s">
        <v>442</v>
      </c>
      <c r="B89" t="s">
        <v>443</v>
      </c>
      <c r="C89" t="s">
        <v>21</v>
      </c>
      <c r="D89">
        <v>445850</v>
      </c>
      <c r="E89">
        <v>5771550</v>
      </c>
      <c r="F89">
        <v>21</v>
      </c>
      <c r="G89" t="s">
        <v>22</v>
      </c>
      <c r="I89" t="s">
        <v>444</v>
      </c>
      <c r="J89" t="s">
        <v>445</v>
      </c>
      <c r="K89">
        <v>947</v>
      </c>
      <c r="L89" t="s">
        <v>198</v>
      </c>
      <c r="M89" t="s">
        <v>103</v>
      </c>
      <c r="N89" t="s">
        <v>58</v>
      </c>
      <c r="O89" t="s">
        <v>446</v>
      </c>
      <c r="P89" t="s">
        <v>359</v>
      </c>
      <c r="Q89" t="s">
        <v>174</v>
      </c>
      <c r="R89" s="3" t="str">
        <f>HYPERLINK("..\..\Imagery\ScannedGeochron\UPb\Wast1997Fig3b.jpg")</f>
        <v>..\..\Imagery\ScannedGeochron\UPb\Wast1997Fig3b.jpg</v>
      </c>
    </row>
    <row r="90" spans="1:19" x14ac:dyDescent="0.25">
      <c r="A90" t="s">
        <v>447</v>
      </c>
      <c r="B90" t="s">
        <v>447</v>
      </c>
      <c r="C90" t="s">
        <v>21</v>
      </c>
      <c r="D90">
        <v>476767</v>
      </c>
      <c r="E90">
        <v>5787930</v>
      </c>
      <c r="F90">
        <v>21</v>
      </c>
      <c r="G90" t="s">
        <v>22</v>
      </c>
      <c r="I90" t="s">
        <v>448</v>
      </c>
      <c r="J90" t="s">
        <v>449</v>
      </c>
      <c r="K90">
        <v>956</v>
      </c>
      <c r="L90" t="s">
        <v>198</v>
      </c>
      <c r="M90" t="s">
        <v>36</v>
      </c>
      <c r="N90" t="s">
        <v>58</v>
      </c>
      <c r="O90" t="s">
        <v>450</v>
      </c>
      <c r="P90" t="s">
        <v>30</v>
      </c>
      <c r="Q90" t="s">
        <v>349</v>
      </c>
      <c r="R90" s="3" t="str">
        <f>HYPERLINK("..\..\Imagery\ScannedGeochron\UPb\Gowe1991Fig3f.jpg")</f>
        <v>..\..\Imagery\ScannedGeochron\UPb\Gowe1991Fig3f.jpg</v>
      </c>
      <c r="S90" t="s">
        <v>451</v>
      </c>
    </row>
    <row r="91" spans="1:19" x14ac:dyDescent="0.25">
      <c r="A91" t="s">
        <v>207</v>
      </c>
      <c r="B91" t="s">
        <v>452</v>
      </c>
      <c r="C91" t="s">
        <v>21</v>
      </c>
      <c r="D91">
        <v>538258</v>
      </c>
      <c r="E91">
        <v>5794495</v>
      </c>
      <c r="F91">
        <v>21</v>
      </c>
      <c r="G91" t="s">
        <v>22</v>
      </c>
      <c r="I91" t="s">
        <v>453</v>
      </c>
      <c r="J91" t="s">
        <v>454</v>
      </c>
      <c r="K91">
        <v>959</v>
      </c>
      <c r="L91" t="s">
        <v>198</v>
      </c>
      <c r="M91" t="s">
        <v>36</v>
      </c>
      <c r="N91" t="s">
        <v>58</v>
      </c>
      <c r="O91" t="s">
        <v>455</v>
      </c>
      <c r="P91" t="s">
        <v>30</v>
      </c>
      <c r="Q91" t="s">
        <v>456</v>
      </c>
      <c r="R91" s="3" t="str">
        <f>HYPERLINK("..\..\Imagery\ScannedGeochron\UPb\Tuck1994Fig6.jpg")</f>
        <v>..\..\Imagery\ScannedGeochron\UPb\Tuck1994Fig6.jpg</v>
      </c>
    </row>
    <row r="92" spans="1:19" x14ac:dyDescent="0.25">
      <c r="A92" t="s">
        <v>457</v>
      </c>
      <c r="B92" t="s">
        <v>457</v>
      </c>
      <c r="C92" t="s">
        <v>21</v>
      </c>
      <c r="D92">
        <v>539536</v>
      </c>
      <c r="E92">
        <v>5730926</v>
      </c>
      <c r="F92">
        <v>21</v>
      </c>
      <c r="G92" t="s">
        <v>22</v>
      </c>
      <c r="I92" t="s">
        <v>458</v>
      </c>
      <c r="J92" t="s">
        <v>459</v>
      </c>
      <c r="K92">
        <v>980</v>
      </c>
      <c r="L92" t="s">
        <v>198</v>
      </c>
      <c r="M92" t="s">
        <v>36</v>
      </c>
      <c r="N92" t="s">
        <v>58</v>
      </c>
      <c r="O92" t="s">
        <v>160</v>
      </c>
      <c r="P92" t="s">
        <v>30</v>
      </c>
      <c r="Q92" t="s">
        <v>200</v>
      </c>
      <c r="R92" s="3" t="str">
        <f>HYPERLINK("..\..\Imagery\ScannedGeochron\UPb\Heam2004Fig5c.jpg")</f>
        <v>..\..\Imagery\ScannedGeochron\UPb\Heam2004Fig5c.jpg</v>
      </c>
    </row>
    <row r="93" spans="1:19" x14ac:dyDescent="0.25">
      <c r="A93" t="s">
        <v>460</v>
      </c>
      <c r="B93" t="s">
        <v>460</v>
      </c>
      <c r="C93" t="s">
        <v>21</v>
      </c>
      <c r="D93">
        <v>525211</v>
      </c>
      <c r="E93">
        <v>5743163</v>
      </c>
      <c r="F93">
        <v>21</v>
      </c>
      <c r="G93" t="s">
        <v>22</v>
      </c>
      <c r="I93" t="s">
        <v>461</v>
      </c>
      <c r="J93" t="s">
        <v>462</v>
      </c>
      <c r="K93">
        <v>960</v>
      </c>
      <c r="L93" t="s">
        <v>198</v>
      </c>
      <c r="M93" t="s">
        <v>103</v>
      </c>
      <c r="N93" t="s">
        <v>58</v>
      </c>
      <c r="O93" t="s">
        <v>463</v>
      </c>
      <c r="P93" t="s">
        <v>39</v>
      </c>
      <c r="Q93" t="s">
        <v>174</v>
      </c>
      <c r="R93" s="3" t="str">
        <f>HYPERLINK("..\..\Imagery\ScannedGeochron\UPb\Wast1997Fig6b.jpg")</f>
        <v>..\..\Imagery\ScannedGeochron\UPb\Wast1997Fig6b.jpg</v>
      </c>
    </row>
    <row r="94" spans="1:19" x14ac:dyDescent="0.25">
      <c r="A94" t="s">
        <v>464</v>
      </c>
      <c r="B94" t="s">
        <v>464</v>
      </c>
      <c r="C94" t="s">
        <v>21</v>
      </c>
      <c r="D94">
        <v>527200</v>
      </c>
      <c r="E94">
        <v>5776620</v>
      </c>
      <c r="F94">
        <v>21</v>
      </c>
      <c r="G94" t="s">
        <v>22</v>
      </c>
      <c r="I94" t="s">
        <v>465</v>
      </c>
      <c r="J94" t="s">
        <v>466</v>
      </c>
      <c r="K94">
        <v>960</v>
      </c>
      <c r="L94" t="s">
        <v>198</v>
      </c>
      <c r="M94" t="s">
        <v>36</v>
      </c>
      <c r="N94" t="s">
        <v>104</v>
      </c>
      <c r="O94" t="s">
        <v>467</v>
      </c>
      <c r="P94" t="s">
        <v>30</v>
      </c>
      <c r="Q94" t="s">
        <v>456</v>
      </c>
      <c r="R94" s="3" t="str">
        <f>HYPERLINK("..\..\Imagery\ScannedGeochron\UPb\Tuck1994Fig6.jpg")</f>
        <v>..\..\Imagery\ScannedGeochron\UPb\Tuck1994Fig6.jpg</v>
      </c>
      <c r="S94" t="s">
        <v>468</v>
      </c>
    </row>
    <row r="95" spans="1:19" x14ac:dyDescent="0.25">
      <c r="A95" t="s">
        <v>469</v>
      </c>
      <c r="B95" t="s">
        <v>469</v>
      </c>
      <c r="C95" t="s">
        <v>21</v>
      </c>
      <c r="D95">
        <v>583666</v>
      </c>
      <c r="E95">
        <v>5789085</v>
      </c>
      <c r="F95">
        <v>21</v>
      </c>
      <c r="G95" t="s">
        <v>22</v>
      </c>
      <c r="I95" t="s">
        <v>470</v>
      </c>
      <c r="J95" t="s">
        <v>471</v>
      </c>
      <c r="K95">
        <v>960</v>
      </c>
      <c r="L95" t="s">
        <v>198</v>
      </c>
      <c r="M95" t="s">
        <v>103</v>
      </c>
      <c r="N95" t="s">
        <v>58</v>
      </c>
      <c r="O95" t="s">
        <v>472</v>
      </c>
      <c r="P95" t="s">
        <v>39</v>
      </c>
      <c r="Q95" t="s">
        <v>174</v>
      </c>
      <c r="R95" s="3" t="str">
        <f>HYPERLINK("..\..\Imagery\ScannedGeochron\UPb\Wast1997Fig4a.jpg")</f>
        <v>..\..\Imagery\ScannedGeochron\UPb\Wast1997Fig4a.jpg</v>
      </c>
    </row>
    <row r="96" spans="1:19" x14ac:dyDescent="0.25">
      <c r="A96" t="s">
        <v>201</v>
      </c>
      <c r="B96" t="s">
        <v>473</v>
      </c>
      <c r="C96" t="s">
        <v>21</v>
      </c>
      <c r="D96">
        <v>528574</v>
      </c>
      <c r="E96">
        <v>5731649</v>
      </c>
      <c r="F96">
        <v>21</v>
      </c>
      <c r="G96" t="s">
        <v>22</v>
      </c>
      <c r="H96" t="s">
        <v>23</v>
      </c>
      <c r="I96" t="s">
        <v>474</v>
      </c>
      <c r="J96" t="s">
        <v>475</v>
      </c>
      <c r="K96">
        <v>962</v>
      </c>
      <c r="L96" t="s">
        <v>198</v>
      </c>
      <c r="M96" t="s">
        <v>36</v>
      </c>
      <c r="N96" t="s">
        <v>320</v>
      </c>
      <c r="O96" t="s">
        <v>476</v>
      </c>
      <c r="P96" t="s">
        <v>30</v>
      </c>
      <c r="Q96" t="s">
        <v>174</v>
      </c>
      <c r="R96" s="3" t="str">
        <f>HYPERLINK("..\..\Imagery\ScannedGeochron\UPb\Wast1997Fig6a.jpg")</f>
        <v>..\..\Imagery\ScannedGeochron\UPb\Wast1997Fig6a.jpg</v>
      </c>
      <c r="S96" t="s">
        <v>477</v>
      </c>
    </row>
    <row r="97" spans="1:19" x14ac:dyDescent="0.25">
      <c r="A97" t="s">
        <v>478</v>
      </c>
      <c r="B97" t="s">
        <v>479</v>
      </c>
      <c r="C97" t="s">
        <v>21</v>
      </c>
      <c r="D97">
        <v>593253</v>
      </c>
      <c r="E97">
        <v>5785005</v>
      </c>
      <c r="F97">
        <v>21</v>
      </c>
      <c r="G97" t="s">
        <v>22</v>
      </c>
      <c r="H97" t="s">
        <v>23</v>
      </c>
      <c r="I97" t="s">
        <v>480</v>
      </c>
      <c r="J97" t="s">
        <v>481</v>
      </c>
      <c r="K97">
        <v>964</v>
      </c>
      <c r="L97" t="s">
        <v>198</v>
      </c>
      <c r="M97" t="s">
        <v>103</v>
      </c>
      <c r="N97" t="s">
        <v>320</v>
      </c>
      <c r="O97" t="s">
        <v>482</v>
      </c>
      <c r="P97" t="s">
        <v>39</v>
      </c>
      <c r="Q97" t="s">
        <v>456</v>
      </c>
      <c r="R97" s="3" t="str">
        <f>HYPERLINK("..\..\Imagery\ScannedGeochron\UPb\Tuck1994Fig4.jpg")</f>
        <v>..\..\Imagery\ScannedGeochron\UPb\Tuck1994Fig4.jpg</v>
      </c>
      <c r="S97" t="s">
        <v>483</v>
      </c>
    </row>
    <row r="98" spans="1:19" x14ac:dyDescent="0.25">
      <c r="A98" t="s">
        <v>484</v>
      </c>
      <c r="B98" t="s">
        <v>484</v>
      </c>
      <c r="C98" t="s">
        <v>21</v>
      </c>
      <c r="D98">
        <v>551508</v>
      </c>
      <c r="E98">
        <v>5770789</v>
      </c>
      <c r="F98">
        <v>21</v>
      </c>
      <c r="G98" t="s">
        <v>22</v>
      </c>
      <c r="I98" t="s">
        <v>485</v>
      </c>
      <c r="J98" t="s">
        <v>486</v>
      </c>
      <c r="K98">
        <v>964</v>
      </c>
      <c r="L98" t="s">
        <v>198</v>
      </c>
      <c r="M98" t="s">
        <v>36</v>
      </c>
      <c r="N98" t="s">
        <v>58</v>
      </c>
      <c r="O98" t="s">
        <v>487</v>
      </c>
      <c r="P98" t="s">
        <v>30</v>
      </c>
      <c r="Q98" t="s">
        <v>349</v>
      </c>
      <c r="R98" s="3" t="str">
        <f>HYPERLINK("..\..\Imagery\ScannedGeochron\UPb\Gowe1991Fig3d.jpg")</f>
        <v>..\..\Imagery\ScannedGeochron\UPb\Gowe1991Fig3d.jpg</v>
      </c>
      <c r="S98" t="s">
        <v>451</v>
      </c>
    </row>
    <row r="99" spans="1:19" x14ac:dyDescent="0.25">
      <c r="A99" t="s">
        <v>488</v>
      </c>
      <c r="B99" t="s">
        <v>489</v>
      </c>
      <c r="C99" t="s">
        <v>21</v>
      </c>
      <c r="D99">
        <v>495929</v>
      </c>
      <c r="E99">
        <v>5771042</v>
      </c>
      <c r="F99">
        <v>21</v>
      </c>
      <c r="G99" t="s">
        <v>22</v>
      </c>
      <c r="I99" t="s">
        <v>490</v>
      </c>
      <c r="J99" t="s">
        <v>491</v>
      </c>
      <c r="K99">
        <v>964</v>
      </c>
      <c r="L99" t="s">
        <v>198</v>
      </c>
      <c r="M99" t="s">
        <v>36</v>
      </c>
      <c r="N99" t="s">
        <v>320</v>
      </c>
      <c r="O99" t="s">
        <v>492</v>
      </c>
      <c r="P99" t="s">
        <v>30</v>
      </c>
      <c r="Q99" t="s">
        <v>349</v>
      </c>
      <c r="R99" s="3" t="str">
        <f>HYPERLINK("..\..\Imagery\ScannedGeochron\UPb\Gowe1991Fig3e.jpg")</f>
        <v>..\..\Imagery\ScannedGeochron\UPb\Gowe1991Fig3e.jpg</v>
      </c>
      <c r="S99" t="s">
        <v>493</v>
      </c>
    </row>
    <row r="100" spans="1:19" x14ac:dyDescent="0.25">
      <c r="A100" t="s">
        <v>494</v>
      </c>
      <c r="B100" t="s">
        <v>494</v>
      </c>
      <c r="C100" t="s">
        <v>21</v>
      </c>
      <c r="D100">
        <v>497175</v>
      </c>
      <c r="E100">
        <v>5785375</v>
      </c>
      <c r="F100">
        <v>21</v>
      </c>
      <c r="G100" t="s">
        <v>22</v>
      </c>
      <c r="I100" t="s">
        <v>495</v>
      </c>
      <c r="J100" t="s">
        <v>496</v>
      </c>
      <c r="K100">
        <v>966</v>
      </c>
      <c r="L100" t="s">
        <v>198</v>
      </c>
      <c r="M100" t="s">
        <v>36</v>
      </c>
      <c r="N100" t="s">
        <v>58</v>
      </c>
      <c r="O100" t="s">
        <v>497</v>
      </c>
      <c r="P100" t="s">
        <v>30</v>
      </c>
      <c r="Q100" t="s">
        <v>498</v>
      </c>
      <c r="R100" s="3" t="str">
        <f>HYPERLINK("..\..\Imagery\ScannedGeochron\UPb\Gowe1987Fig4.jpg")</f>
        <v>..\..\Imagery\ScannedGeochron\UPb\Gowe1987Fig4.jpg</v>
      </c>
      <c r="S100" t="s">
        <v>451</v>
      </c>
    </row>
    <row r="101" spans="1:19" x14ac:dyDescent="0.25">
      <c r="A101" t="s">
        <v>201</v>
      </c>
      <c r="B101" t="s">
        <v>202</v>
      </c>
      <c r="C101" t="s">
        <v>21</v>
      </c>
      <c r="D101">
        <v>528574</v>
      </c>
      <c r="E101">
        <v>5731649</v>
      </c>
      <c r="F101">
        <v>21</v>
      </c>
      <c r="G101" t="s">
        <v>22</v>
      </c>
      <c r="H101" t="s">
        <v>23</v>
      </c>
      <c r="I101" t="s">
        <v>203</v>
      </c>
      <c r="J101" t="s">
        <v>499</v>
      </c>
      <c r="K101">
        <v>972</v>
      </c>
      <c r="L101" t="s">
        <v>198</v>
      </c>
      <c r="M101" t="s">
        <v>103</v>
      </c>
      <c r="N101" t="s">
        <v>58</v>
      </c>
      <c r="O101" t="s">
        <v>500</v>
      </c>
      <c r="P101" t="s">
        <v>39</v>
      </c>
      <c r="Q101" t="s">
        <v>174</v>
      </c>
      <c r="R101" s="3" t="str">
        <f>HYPERLINK("..\..\Imagery\ScannedGeochron\UPb\Wast1997Fig3a.jpg")</f>
        <v>..\..\Imagery\ScannedGeochron\UPb\Wast1997Fig3a.jpg</v>
      </c>
    </row>
    <row r="102" spans="1:19" x14ac:dyDescent="0.25">
      <c r="A102" t="s">
        <v>501</v>
      </c>
      <c r="B102" t="s">
        <v>502</v>
      </c>
      <c r="C102" t="s">
        <v>21</v>
      </c>
      <c r="D102">
        <v>582445</v>
      </c>
      <c r="E102">
        <v>5771571</v>
      </c>
      <c r="F102">
        <v>21</v>
      </c>
      <c r="G102" t="s">
        <v>22</v>
      </c>
      <c r="H102" t="s">
        <v>23</v>
      </c>
      <c r="I102" t="s">
        <v>503</v>
      </c>
      <c r="J102" t="s">
        <v>360</v>
      </c>
      <c r="K102">
        <v>974</v>
      </c>
      <c r="L102" t="s">
        <v>198</v>
      </c>
      <c r="M102" t="s">
        <v>103</v>
      </c>
      <c r="N102" t="s">
        <v>58</v>
      </c>
      <c r="O102" t="s">
        <v>504</v>
      </c>
      <c r="P102" t="s">
        <v>30</v>
      </c>
      <c r="Q102" t="s">
        <v>456</v>
      </c>
      <c r="R102" s="3" t="str">
        <f>HYPERLINK("..\..\Imagery\ScannedGeochron\UPb\Tuck1994Fig6.jpg")</f>
        <v>..\..\Imagery\ScannedGeochron\UPb\Tuck1994Fig6.jpg</v>
      </c>
      <c r="S102" t="s">
        <v>505</v>
      </c>
    </row>
    <row r="103" spans="1:19" x14ac:dyDescent="0.25">
      <c r="A103" t="s">
        <v>506</v>
      </c>
      <c r="B103" t="s">
        <v>507</v>
      </c>
      <c r="C103" t="s">
        <v>21</v>
      </c>
      <c r="D103">
        <v>517524</v>
      </c>
      <c r="E103">
        <v>5712120</v>
      </c>
      <c r="F103">
        <v>21</v>
      </c>
      <c r="G103" t="s">
        <v>22</v>
      </c>
      <c r="H103" t="s">
        <v>23</v>
      </c>
      <c r="I103" t="s">
        <v>508</v>
      </c>
      <c r="J103" t="s">
        <v>509</v>
      </c>
      <c r="K103">
        <v>979</v>
      </c>
      <c r="L103" t="s">
        <v>198</v>
      </c>
      <c r="M103" t="s">
        <v>263</v>
      </c>
      <c r="N103" t="s">
        <v>58</v>
      </c>
      <c r="O103" t="s">
        <v>510</v>
      </c>
      <c r="P103" t="s">
        <v>39</v>
      </c>
      <c r="Q103" t="s">
        <v>174</v>
      </c>
      <c r="R103" s="3" t="str">
        <f>HYPERLINK("..\..\Imagery\ScannedGeochron\UPb\Wast1997Fig2b.jpg")</f>
        <v>..\..\Imagery\ScannedGeochron\UPb\Wast1997Fig2b.jpg</v>
      </c>
    </row>
    <row r="104" spans="1:19" x14ac:dyDescent="0.25">
      <c r="A104" t="s">
        <v>201</v>
      </c>
      <c r="B104" t="s">
        <v>202</v>
      </c>
      <c r="C104" t="s">
        <v>21</v>
      </c>
      <c r="D104">
        <v>528574</v>
      </c>
      <c r="E104">
        <v>5731649</v>
      </c>
      <c r="F104">
        <v>21</v>
      </c>
      <c r="G104" t="s">
        <v>22</v>
      </c>
      <c r="H104" t="s">
        <v>23</v>
      </c>
      <c r="I104" t="s">
        <v>203</v>
      </c>
      <c r="J104" t="s">
        <v>511</v>
      </c>
      <c r="K104">
        <v>982</v>
      </c>
      <c r="L104" t="s">
        <v>198</v>
      </c>
      <c r="M104" t="s">
        <v>263</v>
      </c>
      <c r="N104" t="s">
        <v>58</v>
      </c>
      <c r="O104" t="s">
        <v>512</v>
      </c>
      <c r="P104" t="s">
        <v>39</v>
      </c>
      <c r="Q104" t="s">
        <v>174</v>
      </c>
      <c r="R104" s="3" t="str">
        <f>HYPERLINK("..\..\Imagery\ScannedGeochron\UPb\Wast1997Fig3a.jpg")</f>
        <v>..\..\Imagery\ScannedGeochron\UPb\Wast1997Fig3a.jpg</v>
      </c>
    </row>
    <row r="105" spans="1:19" x14ac:dyDescent="0.25">
      <c r="A105" t="s">
        <v>460</v>
      </c>
      <c r="B105" t="s">
        <v>460</v>
      </c>
      <c r="C105" t="s">
        <v>21</v>
      </c>
      <c r="D105">
        <v>525211</v>
      </c>
      <c r="E105">
        <v>5743163</v>
      </c>
      <c r="F105">
        <v>21</v>
      </c>
      <c r="G105" t="s">
        <v>22</v>
      </c>
      <c r="I105" t="s">
        <v>461</v>
      </c>
      <c r="J105" t="s">
        <v>513</v>
      </c>
      <c r="K105">
        <v>983</v>
      </c>
      <c r="L105" t="s">
        <v>198</v>
      </c>
      <c r="M105" t="s">
        <v>36</v>
      </c>
      <c r="N105" t="s">
        <v>58</v>
      </c>
      <c r="O105" t="s">
        <v>514</v>
      </c>
      <c r="P105" t="s">
        <v>30</v>
      </c>
      <c r="Q105" t="s">
        <v>174</v>
      </c>
      <c r="R105" s="3" t="str">
        <f>HYPERLINK("..\..\Imagery\ScannedGeochron\UPb\Wast1997Fig6b.jpg")</f>
        <v>..\..\Imagery\ScannedGeochron\UPb\Wast1997Fig6b.jpg</v>
      </c>
    </row>
    <row r="106" spans="1:19" x14ac:dyDescent="0.25">
      <c r="A106" t="s">
        <v>201</v>
      </c>
      <c r="B106" t="s">
        <v>473</v>
      </c>
      <c r="C106" t="s">
        <v>21</v>
      </c>
      <c r="D106">
        <v>528574</v>
      </c>
      <c r="E106">
        <v>5731649</v>
      </c>
      <c r="F106">
        <v>21</v>
      </c>
      <c r="G106" t="s">
        <v>22</v>
      </c>
      <c r="H106" t="s">
        <v>23</v>
      </c>
      <c r="I106" t="s">
        <v>474</v>
      </c>
      <c r="J106" t="s">
        <v>515</v>
      </c>
      <c r="K106">
        <v>1359</v>
      </c>
      <c r="L106" t="s">
        <v>198</v>
      </c>
      <c r="M106" t="s">
        <v>36</v>
      </c>
      <c r="N106" t="s">
        <v>28</v>
      </c>
      <c r="O106" t="s">
        <v>476</v>
      </c>
      <c r="P106" t="s">
        <v>97</v>
      </c>
      <c r="Q106" t="s">
        <v>174</v>
      </c>
      <c r="R106" s="3" t="str">
        <f>HYPERLINK("..\..\Imagery\ScannedGeochron\UPb\Wast1997Fig6a.jpg")</f>
        <v>..\..\Imagery\ScannedGeochron\UPb\Wast1997Fig6a.jpg</v>
      </c>
      <c r="S106" t="s">
        <v>477</v>
      </c>
    </row>
    <row r="107" spans="1:19" x14ac:dyDescent="0.25">
      <c r="A107" t="s">
        <v>506</v>
      </c>
      <c r="B107" t="s">
        <v>516</v>
      </c>
      <c r="C107" t="s">
        <v>21</v>
      </c>
      <c r="D107">
        <v>517524</v>
      </c>
      <c r="E107">
        <v>5712120</v>
      </c>
      <c r="F107">
        <v>21</v>
      </c>
      <c r="G107" t="s">
        <v>22</v>
      </c>
      <c r="H107" t="s">
        <v>23</v>
      </c>
      <c r="I107" t="s">
        <v>517</v>
      </c>
      <c r="J107" t="s">
        <v>518</v>
      </c>
      <c r="K107">
        <v>985</v>
      </c>
      <c r="L107" t="s">
        <v>198</v>
      </c>
      <c r="M107" t="s">
        <v>36</v>
      </c>
      <c r="N107" t="s">
        <v>104</v>
      </c>
      <c r="O107" t="s">
        <v>519</v>
      </c>
      <c r="P107" t="s">
        <v>30</v>
      </c>
      <c r="Q107" t="s">
        <v>174</v>
      </c>
      <c r="R107" s="3" t="str">
        <f>HYPERLINK("..\..\Imagery\ScannedGeochron\UPb\Wast1997Fig7.jpg")</f>
        <v>..\..\Imagery\ScannedGeochron\UPb\Wast1997Fig7.jpg</v>
      </c>
    </row>
    <row r="108" spans="1:19" x14ac:dyDescent="0.25">
      <c r="A108" t="s">
        <v>520</v>
      </c>
      <c r="B108" t="s">
        <v>520</v>
      </c>
      <c r="C108" t="s">
        <v>21</v>
      </c>
      <c r="D108">
        <v>515810</v>
      </c>
      <c r="E108">
        <v>5713610</v>
      </c>
      <c r="F108">
        <v>21</v>
      </c>
      <c r="G108" t="s">
        <v>22</v>
      </c>
      <c r="I108" t="s">
        <v>521</v>
      </c>
      <c r="J108" t="s">
        <v>522</v>
      </c>
      <c r="K108">
        <v>987</v>
      </c>
      <c r="L108" t="s">
        <v>198</v>
      </c>
      <c r="M108" t="s">
        <v>36</v>
      </c>
      <c r="N108" t="s">
        <v>104</v>
      </c>
      <c r="O108" t="s">
        <v>523</v>
      </c>
      <c r="P108" t="s">
        <v>30</v>
      </c>
      <c r="Q108" t="s">
        <v>200</v>
      </c>
      <c r="R108" s="3" t="str">
        <f>HYPERLINK("..\..\Imagery\ScannedGeochron\UPb\Heam2004Fig5b.jpg")</f>
        <v>..\..\Imagery\ScannedGeochron\UPb\Heam2004Fig5b.jpg</v>
      </c>
      <c r="S108" t="s">
        <v>524</v>
      </c>
    </row>
    <row r="109" spans="1:19" x14ac:dyDescent="0.25">
      <c r="A109" t="s">
        <v>525</v>
      </c>
      <c r="B109" t="s">
        <v>525</v>
      </c>
      <c r="C109" t="s">
        <v>21</v>
      </c>
      <c r="D109">
        <v>466444</v>
      </c>
      <c r="E109">
        <v>5771229</v>
      </c>
      <c r="F109">
        <v>21</v>
      </c>
      <c r="G109" t="s">
        <v>22</v>
      </c>
      <c r="I109" t="s">
        <v>526</v>
      </c>
      <c r="J109" t="s">
        <v>527</v>
      </c>
      <c r="K109">
        <v>991</v>
      </c>
      <c r="L109" t="s">
        <v>198</v>
      </c>
      <c r="M109" t="s">
        <v>36</v>
      </c>
      <c r="N109" t="s">
        <v>58</v>
      </c>
      <c r="O109" t="s">
        <v>528</v>
      </c>
      <c r="P109" t="s">
        <v>30</v>
      </c>
      <c r="Q109" t="s">
        <v>174</v>
      </c>
      <c r="R109" s="3" t="str">
        <f>HYPERLINK("..\..\Imagery\ScannedGeochron\UPb\Wast1997Fig6a.jpg")</f>
        <v>..\..\Imagery\ScannedGeochron\UPb\Wast1997Fig6a.jpg</v>
      </c>
    </row>
    <row r="110" spans="1:19" x14ac:dyDescent="0.25">
      <c r="A110" t="s">
        <v>501</v>
      </c>
      <c r="B110" t="s">
        <v>529</v>
      </c>
      <c r="C110" t="s">
        <v>21</v>
      </c>
      <c r="D110">
        <v>582445</v>
      </c>
      <c r="E110">
        <v>5771571</v>
      </c>
      <c r="F110">
        <v>21</v>
      </c>
      <c r="G110" t="s">
        <v>22</v>
      </c>
      <c r="H110" t="s">
        <v>23</v>
      </c>
      <c r="I110" t="s">
        <v>530</v>
      </c>
      <c r="J110" t="s">
        <v>531</v>
      </c>
      <c r="K110">
        <v>1000</v>
      </c>
      <c r="L110" t="s">
        <v>198</v>
      </c>
      <c r="M110" t="s">
        <v>36</v>
      </c>
      <c r="N110" t="s">
        <v>58</v>
      </c>
      <c r="O110" t="s">
        <v>46</v>
      </c>
      <c r="P110" t="s">
        <v>39</v>
      </c>
      <c r="Q110" t="s">
        <v>456</v>
      </c>
      <c r="R110" s="3" t="str">
        <f>HYPERLINK("..\..\Imagery\ScannedGeochron\UPb\Tuck1994Fig6.jpg")</f>
        <v>..\..\Imagery\ScannedGeochron\UPb\Tuck1994Fig6.jpg</v>
      </c>
    </row>
    <row r="111" spans="1:19" x14ac:dyDescent="0.25">
      <c r="A111" t="s">
        <v>442</v>
      </c>
      <c r="B111" t="s">
        <v>443</v>
      </c>
      <c r="C111" t="s">
        <v>21</v>
      </c>
      <c r="D111">
        <v>445850</v>
      </c>
      <c r="E111">
        <v>5771550</v>
      </c>
      <c r="F111">
        <v>21</v>
      </c>
      <c r="G111" t="s">
        <v>22</v>
      </c>
      <c r="I111" t="s">
        <v>444</v>
      </c>
      <c r="J111" t="s">
        <v>532</v>
      </c>
      <c r="K111">
        <v>1009</v>
      </c>
      <c r="L111" t="s">
        <v>198</v>
      </c>
      <c r="M111" t="s">
        <v>36</v>
      </c>
      <c r="N111" t="s">
        <v>320</v>
      </c>
      <c r="O111" t="s">
        <v>533</v>
      </c>
      <c r="P111" t="s">
        <v>39</v>
      </c>
      <c r="Q111" t="s">
        <v>174</v>
      </c>
      <c r="R111" s="3" t="str">
        <f>HYPERLINK("..\..\Imagery\ScannedGeochron\UPb\Wast1997Fig3b.jpg")</f>
        <v>..\..\Imagery\ScannedGeochron\UPb\Wast1997Fig3b.jpg</v>
      </c>
      <c r="S111" t="s">
        <v>534</v>
      </c>
    </row>
    <row r="112" spans="1:19" x14ac:dyDescent="0.25">
      <c r="A112" t="s">
        <v>535</v>
      </c>
      <c r="B112" t="s">
        <v>535</v>
      </c>
      <c r="C112" t="s">
        <v>21</v>
      </c>
      <c r="D112">
        <v>543775</v>
      </c>
      <c r="E112">
        <v>5743380</v>
      </c>
      <c r="F112">
        <v>21</v>
      </c>
      <c r="G112" t="s">
        <v>22</v>
      </c>
      <c r="I112" t="s">
        <v>536</v>
      </c>
      <c r="J112" t="s">
        <v>537</v>
      </c>
      <c r="K112">
        <v>1015</v>
      </c>
      <c r="L112" t="s">
        <v>198</v>
      </c>
      <c r="M112" t="s">
        <v>36</v>
      </c>
      <c r="N112" t="s">
        <v>104</v>
      </c>
      <c r="O112" t="s">
        <v>160</v>
      </c>
      <c r="P112" t="s">
        <v>30</v>
      </c>
      <c r="Q112" t="s">
        <v>200</v>
      </c>
      <c r="R112" s="3" t="str">
        <f>HYPERLINK("..\..\Imagery\ScannedGeochron\UPb\Heam2004Fig5a.jpg")</f>
        <v>..\..\Imagery\ScannedGeochron\UPb\Heam2004Fig5a.jpg</v>
      </c>
    </row>
    <row r="113" spans="1:19" x14ac:dyDescent="0.25">
      <c r="A113" t="s">
        <v>469</v>
      </c>
      <c r="B113" t="s">
        <v>469</v>
      </c>
      <c r="C113" t="s">
        <v>21</v>
      </c>
      <c r="D113">
        <v>583666</v>
      </c>
      <c r="E113">
        <v>5789085</v>
      </c>
      <c r="F113">
        <v>21</v>
      </c>
      <c r="G113" t="s">
        <v>22</v>
      </c>
      <c r="I113" t="s">
        <v>470</v>
      </c>
      <c r="J113" t="s">
        <v>538</v>
      </c>
      <c r="K113">
        <v>1019</v>
      </c>
      <c r="L113" t="s">
        <v>198</v>
      </c>
      <c r="M113" t="s">
        <v>36</v>
      </c>
      <c r="N113" t="s">
        <v>320</v>
      </c>
      <c r="O113" t="s">
        <v>539</v>
      </c>
      <c r="P113" t="s">
        <v>39</v>
      </c>
      <c r="Q113" t="s">
        <v>174</v>
      </c>
      <c r="R113" s="3" t="str">
        <f>HYPERLINK("..\..\Imagery\ScannedGeochron\UPb\Wast1997Fig4a.jpg")</f>
        <v>..\..\Imagery\ScannedGeochron\UPb\Wast1997Fig4a.jpg</v>
      </c>
      <c r="S113" t="s">
        <v>540</v>
      </c>
    </row>
    <row r="114" spans="1:19" x14ac:dyDescent="0.25">
      <c r="A114" t="s">
        <v>215</v>
      </c>
      <c r="B114" t="s">
        <v>216</v>
      </c>
      <c r="C114" t="s">
        <v>21</v>
      </c>
      <c r="D114">
        <v>588742</v>
      </c>
      <c r="E114">
        <v>5773072</v>
      </c>
      <c r="F114">
        <v>21</v>
      </c>
      <c r="G114" t="s">
        <v>22</v>
      </c>
      <c r="I114" t="s">
        <v>217</v>
      </c>
      <c r="J114" t="s">
        <v>257</v>
      </c>
      <c r="K114">
        <v>1020</v>
      </c>
      <c r="L114" t="s">
        <v>198</v>
      </c>
      <c r="M114" t="s">
        <v>263</v>
      </c>
      <c r="N114" t="s">
        <v>320</v>
      </c>
      <c r="O114" t="s">
        <v>541</v>
      </c>
      <c r="P114" t="s">
        <v>39</v>
      </c>
      <c r="Q114" t="s">
        <v>174</v>
      </c>
      <c r="R114" s="3" t="str">
        <f>HYPERLINK("..\..\Imagery\ScannedGeochron\UPb\Wast1997Fig2a.jpg")</f>
        <v>..\..\Imagery\ScannedGeochron\UPb\Wast1997Fig2a.jpg</v>
      </c>
      <c r="S114" t="s">
        <v>542</v>
      </c>
    </row>
    <row r="115" spans="1:19" x14ac:dyDescent="0.25">
      <c r="A115" t="s">
        <v>201</v>
      </c>
      <c r="B115" t="s">
        <v>202</v>
      </c>
      <c r="C115" t="s">
        <v>21</v>
      </c>
      <c r="D115">
        <v>528574</v>
      </c>
      <c r="E115">
        <v>5731649</v>
      </c>
      <c r="F115">
        <v>21</v>
      </c>
      <c r="G115" t="s">
        <v>22</v>
      </c>
      <c r="H115" t="s">
        <v>23</v>
      </c>
      <c r="I115" t="s">
        <v>203</v>
      </c>
      <c r="J115" t="s">
        <v>543</v>
      </c>
      <c r="K115">
        <v>1030</v>
      </c>
      <c r="L115" t="s">
        <v>198</v>
      </c>
      <c r="M115" t="s">
        <v>36</v>
      </c>
      <c r="N115" t="s">
        <v>320</v>
      </c>
      <c r="O115" t="s">
        <v>205</v>
      </c>
      <c r="P115" t="s">
        <v>39</v>
      </c>
      <c r="Q115" t="s">
        <v>174</v>
      </c>
      <c r="R115" s="3" t="str">
        <f>HYPERLINK("..\..\Imagery\ScannedGeochron\UPb\Wast1997Fig3a.jpg")</f>
        <v>..\..\Imagery\ScannedGeochron\UPb\Wast1997Fig3a.jpg</v>
      </c>
      <c r="S115" t="s">
        <v>206</v>
      </c>
    </row>
    <row r="116" spans="1:19" x14ac:dyDescent="0.25">
      <c r="A116" t="s">
        <v>506</v>
      </c>
      <c r="B116" t="s">
        <v>544</v>
      </c>
      <c r="C116" t="s">
        <v>21</v>
      </c>
      <c r="D116">
        <v>517524</v>
      </c>
      <c r="E116">
        <v>5712120</v>
      </c>
      <c r="F116">
        <v>21</v>
      </c>
      <c r="G116" t="s">
        <v>22</v>
      </c>
      <c r="H116" t="s">
        <v>23</v>
      </c>
      <c r="I116" t="s">
        <v>545</v>
      </c>
      <c r="J116" t="s">
        <v>546</v>
      </c>
      <c r="K116">
        <v>1036</v>
      </c>
      <c r="L116" t="s">
        <v>198</v>
      </c>
      <c r="M116" t="s">
        <v>36</v>
      </c>
      <c r="N116" t="s">
        <v>320</v>
      </c>
      <c r="O116" t="s">
        <v>547</v>
      </c>
      <c r="P116" t="s">
        <v>30</v>
      </c>
      <c r="Q116" t="s">
        <v>174</v>
      </c>
      <c r="R116" s="3" t="str">
        <f>HYPERLINK("..\..\Imagery\ScannedGeochron\UPb\Wast1997Fig2b.jpg")</f>
        <v>..\..\Imagery\ScannedGeochron\UPb\Wast1997Fig2b.jpg</v>
      </c>
      <c r="S116" t="s">
        <v>548</v>
      </c>
    </row>
    <row r="117" spans="1:19" x14ac:dyDescent="0.25">
      <c r="A117" t="s">
        <v>223</v>
      </c>
      <c r="B117" t="s">
        <v>223</v>
      </c>
      <c r="C117" t="s">
        <v>21</v>
      </c>
      <c r="D117">
        <v>530631</v>
      </c>
      <c r="E117">
        <v>5790718</v>
      </c>
      <c r="F117">
        <v>21</v>
      </c>
      <c r="G117" t="s">
        <v>22</v>
      </c>
      <c r="I117" t="s">
        <v>224</v>
      </c>
      <c r="J117" t="s">
        <v>549</v>
      </c>
      <c r="K117">
        <v>1450</v>
      </c>
      <c r="L117" t="s">
        <v>198</v>
      </c>
      <c r="M117" t="s">
        <v>36</v>
      </c>
      <c r="N117" t="s">
        <v>550</v>
      </c>
      <c r="O117" t="s">
        <v>226</v>
      </c>
      <c r="P117" t="s">
        <v>39</v>
      </c>
      <c r="Q117" t="s">
        <v>174</v>
      </c>
      <c r="R117" s="3" t="str">
        <f>HYPERLINK("..\..\Imagery\ScannedGeochron\UPb\Wast1997Fig4d.jpg")</f>
        <v>..\..\Imagery\ScannedGeochron\UPb\Wast1997Fig4d.jpg</v>
      </c>
      <c r="S117" t="s">
        <v>551</v>
      </c>
    </row>
    <row r="118" spans="1:19" x14ac:dyDescent="0.25">
      <c r="A118" t="s">
        <v>552</v>
      </c>
      <c r="B118" t="s">
        <v>552</v>
      </c>
      <c r="C118" t="s">
        <v>21</v>
      </c>
      <c r="D118">
        <v>585145</v>
      </c>
      <c r="E118">
        <v>5791116</v>
      </c>
      <c r="F118">
        <v>21</v>
      </c>
      <c r="G118" t="s">
        <v>22</v>
      </c>
      <c r="I118" t="s">
        <v>553</v>
      </c>
      <c r="J118" t="s">
        <v>554</v>
      </c>
      <c r="K118">
        <v>1472</v>
      </c>
      <c r="L118" t="s">
        <v>198</v>
      </c>
      <c r="M118" t="s">
        <v>36</v>
      </c>
      <c r="N118" t="s">
        <v>58</v>
      </c>
      <c r="O118" t="s">
        <v>555</v>
      </c>
      <c r="P118" t="s">
        <v>30</v>
      </c>
      <c r="Q118" t="s">
        <v>456</v>
      </c>
      <c r="R118" s="3" t="str">
        <f>HYPERLINK("..\..\Imagery\ScannedGeochron\UPb\Tuck1994Fig5.jpg")</f>
        <v>..\..\Imagery\ScannedGeochron\UPb\Tuck1994Fig5.jpg</v>
      </c>
    </row>
    <row r="119" spans="1:19" x14ac:dyDescent="0.25">
      <c r="A119" t="s">
        <v>501</v>
      </c>
      <c r="B119" t="s">
        <v>556</v>
      </c>
      <c r="C119" t="s">
        <v>21</v>
      </c>
      <c r="D119">
        <v>582445</v>
      </c>
      <c r="E119">
        <v>5771571</v>
      </c>
      <c r="F119">
        <v>21</v>
      </c>
      <c r="G119" t="s">
        <v>22</v>
      </c>
      <c r="H119" t="s">
        <v>23</v>
      </c>
      <c r="I119" t="s">
        <v>557</v>
      </c>
      <c r="J119" t="s">
        <v>558</v>
      </c>
      <c r="K119">
        <v>1479</v>
      </c>
      <c r="L119" t="s">
        <v>198</v>
      </c>
      <c r="M119" t="s">
        <v>36</v>
      </c>
      <c r="N119" t="s">
        <v>58</v>
      </c>
      <c r="O119" t="s">
        <v>559</v>
      </c>
      <c r="P119" t="s">
        <v>30</v>
      </c>
      <c r="Q119" t="s">
        <v>456</v>
      </c>
      <c r="R119" s="3" t="str">
        <f>HYPERLINK("..\..\Imagery\ScannedGeochron\UPb\Tuck1994Fig5.jpg")</f>
        <v>..\..\Imagery\ScannedGeochron\UPb\Tuck1994Fig5.jpg</v>
      </c>
      <c r="S119" t="s">
        <v>560</v>
      </c>
    </row>
    <row r="120" spans="1:19" x14ac:dyDescent="0.25">
      <c r="A120" t="s">
        <v>478</v>
      </c>
      <c r="B120" t="s">
        <v>479</v>
      </c>
      <c r="C120" t="s">
        <v>21</v>
      </c>
      <c r="D120">
        <v>593253</v>
      </c>
      <c r="E120">
        <v>5785005</v>
      </c>
      <c r="F120">
        <v>21</v>
      </c>
      <c r="G120" t="s">
        <v>22</v>
      </c>
      <c r="H120" t="s">
        <v>23</v>
      </c>
      <c r="I120" t="s">
        <v>480</v>
      </c>
      <c r="J120" t="s">
        <v>561</v>
      </c>
      <c r="K120">
        <v>1490</v>
      </c>
      <c r="L120" t="s">
        <v>198</v>
      </c>
      <c r="M120" t="s">
        <v>36</v>
      </c>
      <c r="N120" t="s">
        <v>28</v>
      </c>
      <c r="O120" t="s">
        <v>562</v>
      </c>
      <c r="P120" t="s">
        <v>30</v>
      </c>
      <c r="Q120" t="s">
        <v>456</v>
      </c>
      <c r="R120" s="3" t="str">
        <f>HYPERLINK("..\..\Imagery\ScannedGeochron\UPb\Tuck1994Fig4.jpg")</f>
        <v>..\..\Imagery\ScannedGeochron\UPb\Tuck1994Fig4.jpg</v>
      </c>
      <c r="S120" t="s">
        <v>563</v>
      </c>
    </row>
    <row r="121" spans="1:19" x14ac:dyDescent="0.25">
      <c r="A121" t="s">
        <v>215</v>
      </c>
      <c r="B121" t="s">
        <v>216</v>
      </c>
      <c r="C121" t="s">
        <v>21</v>
      </c>
      <c r="D121">
        <v>588742</v>
      </c>
      <c r="E121">
        <v>5773072</v>
      </c>
      <c r="F121">
        <v>21</v>
      </c>
      <c r="G121" t="s">
        <v>22</v>
      </c>
      <c r="I121" t="s">
        <v>217</v>
      </c>
      <c r="J121" t="s">
        <v>564</v>
      </c>
      <c r="K121">
        <v>1500</v>
      </c>
      <c r="L121" t="s">
        <v>198</v>
      </c>
      <c r="M121" t="s">
        <v>263</v>
      </c>
      <c r="N121" t="s">
        <v>28</v>
      </c>
      <c r="O121" t="s">
        <v>541</v>
      </c>
      <c r="P121" t="s">
        <v>39</v>
      </c>
      <c r="Q121" t="s">
        <v>174</v>
      </c>
      <c r="R121" s="3" t="str">
        <f>HYPERLINK("..\..\Imagery\ScannedGeochron\UPb\Wast1997Fig2a.jpg")</f>
        <v>..\..\Imagery\ScannedGeochron\UPb\Wast1997Fig2a.jpg</v>
      </c>
      <c r="S121" t="s">
        <v>542</v>
      </c>
    </row>
    <row r="122" spans="1:19" x14ac:dyDescent="0.25">
      <c r="A122" t="s">
        <v>488</v>
      </c>
      <c r="B122" t="s">
        <v>489</v>
      </c>
      <c r="C122" t="s">
        <v>21</v>
      </c>
      <c r="D122">
        <v>495929</v>
      </c>
      <c r="E122">
        <v>5771042</v>
      </c>
      <c r="F122">
        <v>21</v>
      </c>
      <c r="G122" t="s">
        <v>22</v>
      </c>
      <c r="I122" t="s">
        <v>490</v>
      </c>
      <c r="J122" t="s">
        <v>565</v>
      </c>
      <c r="K122">
        <v>1530</v>
      </c>
      <c r="L122" t="s">
        <v>198</v>
      </c>
      <c r="M122" t="s">
        <v>36</v>
      </c>
      <c r="N122" t="s">
        <v>28</v>
      </c>
      <c r="O122" t="s">
        <v>492</v>
      </c>
      <c r="P122" t="s">
        <v>97</v>
      </c>
      <c r="Q122" t="s">
        <v>349</v>
      </c>
      <c r="R122" s="3" t="str">
        <f>HYPERLINK("..\..\Imagery\ScannedGeochron\UPb\Gowe1991Fig3e.jpg")</f>
        <v>..\..\Imagery\ScannedGeochron\UPb\Gowe1991Fig3e.jpg</v>
      </c>
      <c r="S122" t="s">
        <v>566</v>
      </c>
    </row>
    <row r="123" spans="1:19" x14ac:dyDescent="0.25">
      <c r="A123" t="s">
        <v>469</v>
      </c>
      <c r="B123" t="s">
        <v>469</v>
      </c>
      <c r="C123" t="s">
        <v>21</v>
      </c>
      <c r="D123">
        <v>583666</v>
      </c>
      <c r="E123">
        <v>5789085</v>
      </c>
      <c r="F123">
        <v>21</v>
      </c>
      <c r="G123" t="s">
        <v>22</v>
      </c>
      <c r="I123" t="s">
        <v>470</v>
      </c>
      <c r="J123" t="s">
        <v>567</v>
      </c>
      <c r="K123">
        <v>1590</v>
      </c>
      <c r="L123" t="s">
        <v>198</v>
      </c>
      <c r="M123" t="s">
        <v>36</v>
      </c>
      <c r="N123" t="s">
        <v>28</v>
      </c>
      <c r="O123" t="s">
        <v>568</v>
      </c>
      <c r="P123" t="s">
        <v>30</v>
      </c>
      <c r="Q123" t="s">
        <v>174</v>
      </c>
      <c r="R123" s="3" t="str">
        <f>HYPERLINK("..\..\Imagery\ScannedGeochron\UPb\Wast1997Fig4a.jpg")</f>
        <v>..\..\Imagery\ScannedGeochron\UPb\Wast1997Fig4a.jpg</v>
      </c>
      <c r="S123" t="s">
        <v>569</v>
      </c>
    </row>
    <row r="124" spans="1:19" x14ac:dyDescent="0.25">
      <c r="A124" t="s">
        <v>506</v>
      </c>
      <c r="B124" t="s">
        <v>507</v>
      </c>
      <c r="C124" t="s">
        <v>21</v>
      </c>
      <c r="D124">
        <v>517524</v>
      </c>
      <c r="E124">
        <v>5712120</v>
      </c>
      <c r="F124">
        <v>21</v>
      </c>
      <c r="G124" t="s">
        <v>22</v>
      </c>
      <c r="H124" t="s">
        <v>23</v>
      </c>
      <c r="I124" t="s">
        <v>508</v>
      </c>
      <c r="J124" t="s">
        <v>570</v>
      </c>
      <c r="K124">
        <v>1637</v>
      </c>
      <c r="L124" t="s">
        <v>198</v>
      </c>
      <c r="M124" t="s">
        <v>36</v>
      </c>
      <c r="N124" t="s">
        <v>28</v>
      </c>
      <c r="O124" t="s">
        <v>571</v>
      </c>
      <c r="P124" t="s">
        <v>30</v>
      </c>
      <c r="Q124" t="s">
        <v>174</v>
      </c>
      <c r="R124" s="3" t="str">
        <f>HYPERLINK("..\..\Imagery\ScannedGeochron\UPb\Wast1997Fig2b.jpg")</f>
        <v>..\..\Imagery\ScannedGeochron\UPb\Wast1997Fig2b.jpg</v>
      </c>
      <c r="S124" t="s">
        <v>572</v>
      </c>
    </row>
    <row r="125" spans="1:19" x14ac:dyDescent="0.25">
      <c r="A125" t="s">
        <v>573</v>
      </c>
      <c r="B125" t="s">
        <v>574</v>
      </c>
      <c r="C125" t="s">
        <v>21</v>
      </c>
      <c r="D125">
        <v>416845</v>
      </c>
      <c r="E125">
        <v>6011177</v>
      </c>
      <c r="F125">
        <v>21</v>
      </c>
      <c r="G125" t="s">
        <v>22</v>
      </c>
      <c r="I125" t="s">
        <v>575</v>
      </c>
      <c r="J125" t="s">
        <v>576</v>
      </c>
      <c r="K125">
        <v>1619</v>
      </c>
      <c r="L125" t="s">
        <v>69</v>
      </c>
      <c r="M125" t="s">
        <v>577</v>
      </c>
      <c r="N125" t="s">
        <v>104</v>
      </c>
      <c r="O125" t="s">
        <v>578</v>
      </c>
      <c r="P125" t="s">
        <v>30</v>
      </c>
      <c r="Q125" t="s">
        <v>71</v>
      </c>
      <c r="R125" s="3" t="str">
        <f>HYPERLINK("..\..\Imagery\ScannedGeochron\UPb\Corr2000Fig10.jpg")</f>
        <v>..\..\Imagery\ScannedGeochron\UPb\Corr2000Fig10.jpg</v>
      </c>
      <c r="S125" t="s">
        <v>579</v>
      </c>
    </row>
    <row r="126" spans="1:19" x14ac:dyDescent="0.25">
      <c r="A126" t="s">
        <v>580</v>
      </c>
      <c r="B126" t="s">
        <v>580</v>
      </c>
      <c r="C126" t="s">
        <v>21</v>
      </c>
      <c r="D126">
        <v>389799</v>
      </c>
      <c r="E126">
        <v>5845171</v>
      </c>
      <c r="F126">
        <v>21</v>
      </c>
      <c r="G126" t="s">
        <v>22</v>
      </c>
      <c r="I126" t="s">
        <v>581</v>
      </c>
      <c r="J126" t="s">
        <v>582</v>
      </c>
      <c r="K126">
        <v>964</v>
      </c>
      <c r="L126" t="s">
        <v>172</v>
      </c>
      <c r="M126" t="s">
        <v>36</v>
      </c>
      <c r="N126" t="s">
        <v>58</v>
      </c>
      <c r="O126" t="s">
        <v>583</v>
      </c>
      <c r="P126" t="s">
        <v>30</v>
      </c>
      <c r="Q126" t="s">
        <v>181</v>
      </c>
      <c r="R126" s="3" t="str">
        <f>HYPERLINK("..\..\Imagery\ScannedGeochron\UPb\Gowe2008Fig7f.jpg")</f>
        <v>..\..\Imagery\ScannedGeochron\UPb\Gowe2008Fig7f.jpg</v>
      </c>
      <c r="S126" t="s">
        <v>584</v>
      </c>
    </row>
    <row r="127" spans="1:19" x14ac:dyDescent="0.25">
      <c r="A127" t="s">
        <v>585</v>
      </c>
      <c r="B127" t="s">
        <v>585</v>
      </c>
      <c r="C127" t="s">
        <v>21</v>
      </c>
      <c r="D127">
        <v>398951</v>
      </c>
      <c r="E127">
        <v>5835103</v>
      </c>
      <c r="F127">
        <v>21</v>
      </c>
      <c r="G127" t="s">
        <v>22</v>
      </c>
      <c r="I127" t="s">
        <v>586</v>
      </c>
      <c r="J127" t="s">
        <v>587</v>
      </c>
      <c r="K127">
        <v>951</v>
      </c>
      <c r="L127" t="s">
        <v>198</v>
      </c>
      <c r="M127" t="s">
        <v>36</v>
      </c>
      <c r="N127" t="s">
        <v>58</v>
      </c>
      <c r="O127" t="s">
        <v>583</v>
      </c>
      <c r="P127" t="s">
        <v>30</v>
      </c>
      <c r="Q127" t="s">
        <v>181</v>
      </c>
      <c r="R127" s="3" t="str">
        <f>HYPERLINK("..\..\Imagery\ScannedGeochron\UPb\Gowe2008Fig7h.jpg")</f>
        <v>..\..\Imagery\ScannedGeochron\UPb\Gowe2008Fig7h.jpg</v>
      </c>
      <c r="S127" t="s">
        <v>584</v>
      </c>
    </row>
    <row r="128" spans="1:19" x14ac:dyDescent="0.25">
      <c r="A128" t="s">
        <v>588</v>
      </c>
      <c r="B128" t="s">
        <v>589</v>
      </c>
      <c r="C128" t="s">
        <v>21</v>
      </c>
      <c r="D128">
        <v>404410</v>
      </c>
      <c r="E128">
        <v>5836945</v>
      </c>
      <c r="F128">
        <v>21</v>
      </c>
      <c r="G128" t="s">
        <v>22</v>
      </c>
      <c r="I128" t="s">
        <v>590</v>
      </c>
      <c r="J128" t="s">
        <v>591</v>
      </c>
      <c r="K128">
        <v>987</v>
      </c>
      <c r="L128" t="s">
        <v>198</v>
      </c>
      <c r="M128" t="s">
        <v>36</v>
      </c>
      <c r="N128" t="s">
        <v>28</v>
      </c>
      <c r="O128" t="s">
        <v>592</v>
      </c>
      <c r="P128" t="s">
        <v>39</v>
      </c>
      <c r="Q128" t="s">
        <v>181</v>
      </c>
      <c r="R128" s="3" t="str">
        <f>HYPERLINK("..\..\Imagery\ScannedGeochron\UPb\Gowe2008Fig6e.jpg")</f>
        <v>..\..\Imagery\ScannedGeochron\UPb\Gowe2008Fig6e.jpg</v>
      </c>
      <c r="S128" t="s">
        <v>366</v>
      </c>
    </row>
    <row r="129" spans="1:19" x14ac:dyDescent="0.25">
      <c r="A129" t="s">
        <v>593</v>
      </c>
      <c r="B129" t="s">
        <v>594</v>
      </c>
      <c r="C129" t="s">
        <v>21</v>
      </c>
      <c r="D129">
        <v>344843</v>
      </c>
      <c r="E129">
        <v>5852094</v>
      </c>
      <c r="F129">
        <v>21</v>
      </c>
      <c r="G129" t="s">
        <v>22</v>
      </c>
      <c r="I129" t="s">
        <v>595</v>
      </c>
      <c r="J129" t="s">
        <v>596</v>
      </c>
      <c r="K129">
        <v>510</v>
      </c>
      <c r="L129" t="s">
        <v>172</v>
      </c>
      <c r="M129" t="s">
        <v>27</v>
      </c>
      <c r="N129" t="s">
        <v>252</v>
      </c>
      <c r="O129" t="s">
        <v>160</v>
      </c>
      <c r="P129" t="s">
        <v>212</v>
      </c>
      <c r="Q129" t="s">
        <v>181</v>
      </c>
      <c r="R129" s="3" t="str">
        <f>HYPERLINK("..\..\Imagery\ScannedGeochron\UPb\Gowe2008Fig5b.jpg")</f>
        <v>..\..\Imagery\ScannedGeochron\UPb\Gowe2008Fig5b.jpg</v>
      </c>
      <c r="S129" t="s">
        <v>597</v>
      </c>
    </row>
    <row r="130" spans="1:19" x14ac:dyDescent="0.25">
      <c r="A130" t="s">
        <v>598</v>
      </c>
      <c r="B130" t="s">
        <v>598</v>
      </c>
      <c r="C130" t="s">
        <v>21</v>
      </c>
      <c r="D130">
        <v>374480</v>
      </c>
      <c r="E130">
        <v>5971801</v>
      </c>
      <c r="F130">
        <v>21</v>
      </c>
      <c r="G130" t="s">
        <v>22</v>
      </c>
      <c r="I130" t="s">
        <v>599</v>
      </c>
      <c r="J130" t="s">
        <v>600</v>
      </c>
      <c r="K130">
        <v>771</v>
      </c>
      <c r="L130" t="s">
        <v>172</v>
      </c>
      <c r="M130" t="s">
        <v>36</v>
      </c>
      <c r="N130" t="s">
        <v>320</v>
      </c>
      <c r="O130" t="s">
        <v>601</v>
      </c>
      <c r="P130" t="s">
        <v>212</v>
      </c>
      <c r="Q130" t="s">
        <v>602</v>
      </c>
      <c r="R130" s="3" t="str">
        <f>HYPERLINK("..\..\Imagery\ScannedGeochron\UPb\Emsl1990Fig7b.jpg")</f>
        <v>..\..\Imagery\ScannedGeochron\UPb\Emsl1990Fig7b.jpg</v>
      </c>
      <c r="S130" t="s">
        <v>603</v>
      </c>
    </row>
    <row r="131" spans="1:19" x14ac:dyDescent="0.25">
      <c r="A131" t="s">
        <v>604</v>
      </c>
      <c r="B131" t="s">
        <v>604</v>
      </c>
      <c r="C131" t="s">
        <v>21</v>
      </c>
      <c r="D131">
        <v>400988</v>
      </c>
      <c r="E131">
        <v>5830857</v>
      </c>
      <c r="F131">
        <v>21</v>
      </c>
      <c r="G131" t="s">
        <v>22</v>
      </c>
      <c r="I131" t="s">
        <v>605</v>
      </c>
      <c r="J131" t="s">
        <v>606</v>
      </c>
      <c r="K131">
        <v>964</v>
      </c>
      <c r="L131" t="s">
        <v>198</v>
      </c>
      <c r="M131" t="s">
        <v>263</v>
      </c>
      <c r="N131" t="s">
        <v>104</v>
      </c>
      <c r="O131" t="s">
        <v>592</v>
      </c>
      <c r="P131" t="s">
        <v>39</v>
      </c>
      <c r="Q131" t="s">
        <v>181</v>
      </c>
      <c r="R131" s="3" t="str">
        <f>HYPERLINK("..\..\Imagery\ScannedGeochron\UPb\Gowe2008Fig6d.jpg")</f>
        <v>..\..\Imagery\ScannedGeochron\UPb\Gowe2008Fig6d.jpg</v>
      </c>
    </row>
    <row r="132" spans="1:19" x14ac:dyDescent="0.25">
      <c r="A132" t="s">
        <v>607</v>
      </c>
      <c r="B132" t="s">
        <v>607</v>
      </c>
      <c r="C132" t="s">
        <v>21</v>
      </c>
      <c r="D132">
        <v>515883</v>
      </c>
      <c r="E132">
        <v>5826521</v>
      </c>
      <c r="F132">
        <v>21</v>
      </c>
      <c r="G132" t="s">
        <v>22</v>
      </c>
      <c r="I132" t="s">
        <v>608</v>
      </c>
      <c r="J132" t="s">
        <v>609</v>
      </c>
      <c r="K132">
        <v>962</v>
      </c>
      <c r="L132" t="s">
        <v>172</v>
      </c>
      <c r="M132" t="s">
        <v>36</v>
      </c>
      <c r="N132" t="s">
        <v>58</v>
      </c>
      <c r="O132" t="s">
        <v>610</v>
      </c>
      <c r="P132" t="s">
        <v>30</v>
      </c>
      <c r="Q132" t="s">
        <v>349</v>
      </c>
      <c r="R132" s="3" t="str">
        <f>HYPERLINK("..\..\Imagery\ScannedGeochron\UPb\Gowe1991Fig3c.jpg")</f>
        <v>..\..\Imagery\ScannedGeochron\UPb\Gowe1991Fig3c.jpg</v>
      </c>
      <c r="S132" t="s">
        <v>451</v>
      </c>
    </row>
    <row r="133" spans="1:19" x14ac:dyDescent="0.25">
      <c r="A133" t="s">
        <v>407</v>
      </c>
      <c r="B133" t="s">
        <v>407</v>
      </c>
      <c r="C133" t="s">
        <v>21</v>
      </c>
      <c r="D133">
        <v>411624</v>
      </c>
      <c r="E133">
        <v>5904951</v>
      </c>
      <c r="F133">
        <v>21</v>
      </c>
      <c r="G133" t="s">
        <v>22</v>
      </c>
      <c r="I133" t="s">
        <v>408</v>
      </c>
      <c r="J133" t="s">
        <v>611</v>
      </c>
      <c r="K133">
        <v>1006</v>
      </c>
      <c r="L133" t="s">
        <v>172</v>
      </c>
      <c r="M133" t="s">
        <v>36</v>
      </c>
      <c r="N133" t="s">
        <v>252</v>
      </c>
      <c r="O133" t="s">
        <v>160</v>
      </c>
      <c r="P133" t="s">
        <v>39</v>
      </c>
      <c r="Q133" t="s">
        <v>181</v>
      </c>
      <c r="R133" s="3" t="str">
        <f>HYPERLINK("..\..\Imagery\ScannedGeochron\UPb\Gowe2008Fig3c.jpg")</f>
        <v>..\..\Imagery\ScannedGeochron\UPb\Gowe2008Fig3c.jpg</v>
      </c>
    </row>
    <row r="134" spans="1:19" x14ac:dyDescent="0.25">
      <c r="A134" t="s">
        <v>588</v>
      </c>
      <c r="B134" t="s">
        <v>612</v>
      </c>
      <c r="C134" t="s">
        <v>21</v>
      </c>
      <c r="D134">
        <v>404410</v>
      </c>
      <c r="E134">
        <v>5836945</v>
      </c>
      <c r="F134">
        <v>21</v>
      </c>
      <c r="G134" t="s">
        <v>22</v>
      </c>
      <c r="I134" t="s">
        <v>613</v>
      </c>
      <c r="J134" t="s">
        <v>614</v>
      </c>
      <c r="K134">
        <v>1023</v>
      </c>
      <c r="L134" t="s">
        <v>198</v>
      </c>
      <c r="M134" t="s">
        <v>263</v>
      </c>
      <c r="N134" t="s">
        <v>104</v>
      </c>
      <c r="O134" t="s">
        <v>105</v>
      </c>
      <c r="P134" t="s">
        <v>39</v>
      </c>
      <c r="Q134" t="s">
        <v>181</v>
      </c>
      <c r="R134" s="3" t="str">
        <f>HYPERLINK("..\..\Imagery\ScannedGeochron\UPb\Gowe2008Fig6e.jpg")</f>
        <v>..\..\Imagery\ScannedGeochron\UPb\Gowe2008Fig6e.jpg</v>
      </c>
    </row>
    <row r="135" spans="1:19" x14ac:dyDescent="0.25">
      <c r="A135" t="s">
        <v>183</v>
      </c>
      <c r="B135" t="s">
        <v>615</v>
      </c>
      <c r="C135" t="s">
        <v>21</v>
      </c>
      <c r="D135">
        <v>405328</v>
      </c>
      <c r="E135">
        <v>5911514</v>
      </c>
      <c r="F135">
        <v>21</v>
      </c>
      <c r="G135" t="s">
        <v>22</v>
      </c>
      <c r="H135" t="s">
        <v>23</v>
      </c>
      <c r="I135" t="s">
        <v>616</v>
      </c>
      <c r="J135" t="s">
        <v>617</v>
      </c>
      <c r="K135">
        <v>1044</v>
      </c>
      <c r="L135" t="s">
        <v>172</v>
      </c>
      <c r="M135" t="s">
        <v>618</v>
      </c>
      <c r="N135" t="s">
        <v>58</v>
      </c>
      <c r="O135" t="s">
        <v>619</v>
      </c>
      <c r="P135" t="s">
        <v>39</v>
      </c>
      <c r="Q135" t="s">
        <v>181</v>
      </c>
      <c r="R135" s="3" t="str">
        <f>HYPERLINK("..\..\Imagery\ScannedGeochron\UPb\Gowe2008Fig3b.jpg")</f>
        <v>..\..\Imagery\ScannedGeochron\UPb\Gowe2008Fig3b.jpg</v>
      </c>
      <c r="S135" t="s">
        <v>620</v>
      </c>
    </row>
    <row r="136" spans="1:19" x14ac:dyDescent="0.25">
      <c r="A136" t="s">
        <v>310</v>
      </c>
      <c r="B136" t="s">
        <v>317</v>
      </c>
      <c r="C136" t="s">
        <v>21</v>
      </c>
      <c r="D136">
        <v>344444</v>
      </c>
      <c r="E136">
        <v>5836488</v>
      </c>
      <c r="F136">
        <v>21</v>
      </c>
      <c r="G136" t="s">
        <v>22</v>
      </c>
      <c r="H136" t="s">
        <v>23</v>
      </c>
      <c r="I136" t="s">
        <v>318</v>
      </c>
      <c r="J136" t="s">
        <v>621</v>
      </c>
      <c r="K136">
        <v>1031</v>
      </c>
      <c r="L136" t="s">
        <v>172</v>
      </c>
      <c r="M136" t="s">
        <v>36</v>
      </c>
      <c r="N136" t="s">
        <v>28</v>
      </c>
      <c r="O136" t="s">
        <v>321</v>
      </c>
      <c r="P136" t="s">
        <v>30</v>
      </c>
      <c r="Q136" t="s">
        <v>181</v>
      </c>
      <c r="R136" s="3" t="str">
        <f>HYPERLINK("..\..\Imagery\ScannedGeochron\UPb\Gowe2008Fig4c.jpg")</f>
        <v>..\..\Imagery\ScannedGeochron\UPb\Gowe2008Fig4c.jpg</v>
      </c>
      <c r="S136" t="s">
        <v>322</v>
      </c>
    </row>
    <row r="137" spans="1:19" x14ac:dyDescent="0.25">
      <c r="A137" t="s">
        <v>622</v>
      </c>
      <c r="B137" t="s">
        <v>623</v>
      </c>
      <c r="C137" t="s">
        <v>21</v>
      </c>
      <c r="D137">
        <v>333310</v>
      </c>
      <c r="E137">
        <v>5835479</v>
      </c>
      <c r="F137">
        <v>21</v>
      </c>
      <c r="G137" t="s">
        <v>22</v>
      </c>
      <c r="I137" t="s">
        <v>624</v>
      </c>
      <c r="J137" t="s">
        <v>625</v>
      </c>
      <c r="K137">
        <v>1473</v>
      </c>
      <c r="L137" t="s">
        <v>172</v>
      </c>
      <c r="M137" t="s">
        <v>36</v>
      </c>
      <c r="N137" t="s">
        <v>28</v>
      </c>
      <c r="O137" t="s">
        <v>497</v>
      </c>
      <c r="P137" t="s">
        <v>30</v>
      </c>
      <c r="Q137" t="s">
        <v>181</v>
      </c>
      <c r="R137" s="3" t="str">
        <f>HYPERLINK("..\..\Imagery\ScannedGeochron\UPb\Gowe2008Fig6h.jpg")</f>
        <v>..\..\Imagery\ScannedGeochron\UPb\Gowe2008Fig6h.jpg</v>
      </c>
      <c r="S137" t="s">
        <v>626</v>
      </c>
    </row>
    <row r="138" spans="1:19" x14ac:dyDescent="0.25">
      <c r="A138" t="s">
        <v>240</v>
      </c>
      <c r="B138" t="s">
        <v>627</v>
      </c>
      <c r="C138" t="s">
        <v>21</v>
      </c>
      <c r="D138">
        <v>416650</v>
      </c>
      <c r="E138">
        <v>5875024</v>
      </c>
      <c r="F138">
        <v>21</v>
      </c>
      <c r="G138" t="s">
        <v>22</v>
      </c>
      <c r="H138" t="s">
        <v>23</v>
      </c>
      <c r="I138" t="s">
        <v>628</v>
      </c>
      <c r="J138" t="s">
        <v>629</v>
      </c>
      <c r="K138">
        <v>1496</v>
      </c>
      <c r="L138" t="s">
        <v>172</v>
      </c>
      <c r="M138" t="s">
        <v>36</v>
      </c>
      <c r="N138" t="s">
        <v>58</v>
      </c>
      <c r="O138" t="s">
        <v>630</v>
      </c>
      <c r="P138" t="s">
        <v>39</v>
      </c>
      <c r="Q138" t="s">
        <v>181</v>
      </c>
      <c r="R138" s="3" t="str">
        <f>HYPERLINK("..\..\Imagery\ScannedGeochron\UPb\Gowe2008Fig3a.jpg")</f>
        <v>..\..\Imagery\ScannedGeochron\UPb\Gowe2008Fig3a.jpg</v>
      </c>
    </row>
    <row r="139" spans="1:19" x14ac:dyDescent="0.25">
      <c r="A139" t="s">
        <v>478</v>
      </c>
      <c r="B139" t="s">
        <v>631</v>
      </c>
      <c r="C139" t="s">
        <v>21</v>
      </c>
      <c r="D139">
        <v>593253</v>
      </c>
      <c r="E139">
        <v>5785005</v>
      </c>
      <c r="F139">
        <v>21</v>
      </c>
      <c r="G139" t="s">
        <v>22</v>
      </c>
      <c r="H139" t="s">
        <v>23</v>
      </c>
      <c r="I139" t="s">
        <v>632</v>
      </c>
      <c r="J139" t="s">
        <v>633</v>
      </c>
      <c r="K139">
        <v>1640</v>
      </c>
      <c r="L139" t="s">
        <v>198</v>
      </c>
      <c r="M139" t="s">
        <v>36</v>
      </c>
      <c r="N139" t="s">
        <v>104</v>
      </c>
      <c r="O139" t="s">
        <v>634</v>
      </c>
      <c r="P139" t="s">
        <v>30</v>
      </c>
      <c r="Q139" t="s">
        <v>456</v>
      </c>
      <c r="R139" s="3" t="str">
        <f>HYPERLINK("..\..\Imagery\ScannedGeochron\UPb\Tuck1994Fig4.jpg")</f>
        <v>..\..\Imagery\ScannedGeochron\UPb\Tuck1994Fig4.jpg</v>
      </c>
      <c r="S139" t="s">
        <v>635</v>
      </c>
    </row>
    <row r="140" spans="1:19" x14ac:dyDescent="0.25">
      <c r="A140" t="s">
        <v>400</v>
      </c>
      <c r="B140" t="s">
        <v>400</v>
      </c>
      <c r="C140" t="s">
        <v>21</v>
      </c>
      <c r="D140">
        <v>570516</v>
      </c>
      <c r="E140">
        <v>5827699</v>
      </c>
      <c r="F140">
        <v>21</v>
      </c>
      <c r="G140" t="s">
        <v>22</v>
      </c>
      <c r="I140" t="s">
        <v>401</v>
      </c>
      <c r="J140" t="s">
        <v>636</v>
      </c>
      <c r="K140">
        <v>1113</v>
      </c>
      <c r="L140" t="s">
        <v>69</v>
      </c>
      <c r="M140" t="s">
        <v>36</v>
      </c>
      <c r="N140" t="s">
        <v>28</v>
      </c>
      <c r="O140" t="s">
        <v>160</v>
      </c>
      <c r="P140" t="s">
        <v>30</v>
      </c>
      <c r="Q140" t="s">
        <v>389</v>
      </c>
      <c r="R140" s="3" t="str">
        <f>HYPERLINK("..\..\Imagery\ScannedGeochron\UPb\Scot1993Fig3a.jpg")</f>
        <v>..\..\Imagery\ScannedGeochron\UPb\Scot1993Fig3a.jpg</v>
      </c>
      <c r="S140" t="s">
        <v>637</v>
      </c>
    </row>
    <row r="141" spans="1:19" x14ac:dyDescent="0.25">
      <c r="A141" t="s">
        <v>345</v>
      </c>
      <c r="B141" t="s">
        <v>345</v>
      </c>
      <c r="C141" t="s">
        <v>21</v>
      </c>
      <c r="D141">
        <v>575777</v>
      </c>
      <c r="E141">
        <v>5827833</v>
      </c>
      <c r="F141">
        <v>21</v>
      </c>
      <c r="G141" t="s">
        <v>22</v>
      </c>
      <c r="I141" t="s">
        <v>346</v>
      </c>
      <c r="J141" t="s">
        <v>638</v>
      </c>
      <c r="K141">
        <v>1132</v>
      </c>
      <c r="L141" t="s">
        <v>69</v>
      </c>
      <c r="M141" t="s">
        <v>36</v>
      </c>
      <c r="N141" t="s">
        <v>28</v>
      </c>
      <c r="O141" t="s">
        <v>348</v>
      </c>
      <c r="P141" t="s">
        <v>30</v>
      </c>
      <c r="Q141" t="s">
        <v>349</v>
      </c>
      <c r="R141" s="3" t="str">
        <f>HYPERLINK("..\..\Imagery\ScannedGeochron\UPb\Gowe1991Fig3a.jpg")</f>
        <v>..\..\Imagery\ScannedGeochron\UPb\Gowe1991Fig3a.jpg</v>
      </c>
      <c r="S141" t="s">
        <v>639</v>
      </c>
    </row>
    <row r="142" spans="1:19" x14ac:dyDescent="0.25">
      <c r="A142" t="s">
        <v>640</v>
      </c>
      <c r="B142" t="s">
        <v>640</v>
      </c>
      <c r="C142" t="s">
        <v>21</v>
      </c>
      <c r="D142">
        <v>584464</v>
      </c>
      <c r="E142">
        <v>5818943</v>
      </c>
      <c r="F142">
        <v>21</v>
      </c>
      <c r="G142" t="s">
        <v>22</v>
      </c>
      <c r="I142" t="s">
        <v>641</v>
      </c>
      <c r="J142" t="s">
        <v>642</v>
      </c>
      <c r="K142">
        <v>1186</v>
      </c>
      <c r="L142" t="s">
        <v>69</v>
      </c>
      <c r="M142" t="s">
        <v>36</v>
      </c>
      <c r="N142" t="s">
        <v>320</v>
      </c>
      <c r="O142" t="s">
        <v>643</v>
      </c>
      <c r="P142" t="s">
        <v>39</v>
      </c>
      <c r="Q142" t="s">
        <v>389</v>
      </c>
      <c r="R142" s="3" t="str">
        <f>HYPERLINK("..\..\Imagery\ScannedGeochron\UPb\Scot1993Fig3b.jpg")</f>
        <v>..\..\Imagery\ScannedGeochron\UPb\Scot1993Fig3b.jpg</v>
      </c>
      <c r="S142" t="s">
        <v>344</v>
      </c>
    </row>
    <row r="143" spans="1:19" x14ac:dyDescent="0.25">
      <c r="A143" t="s">
        <v>367</v>
      </c>
      <c r="B143" t="s">
        <v>644</v>
      </c>
      <c r="C143" t="s">
        <v>21</v>
      </c>
      <c r="D143">
        <v>412948</v>
      </c>
      <c r="E143">
        <v>5971531</v>
      </c>
      <c r="F143">
        <v>21</v>
      </c>
      <c r="G143" t="s">
        <v>22</v>
      </c>
      <c r="H143" t="s">
        <v>23</v>
      </c>
      <c r="I143" t="s">
        <v>645</v>
      </c>
      <c r="J143" t="s">
        <v>646</v>
      </c>
      <c r="K143">
        <v>1296</v>
      </c>
      <c r="L143" t="s">
        <v>69</v>
      </c>
      <c r="M143" t="s">
        <v>36</v>
      </c>
      <c r="N143" t="s">
        <v>104</v>
      </c>
      <c r="O143" t="s">
        <v>253</v>
      </c>
      <c r="P143" t="s">
        <v>30</v>
      </c>
      <c r="Q143" t="s">
        <v>79</v>
      </c>
      <c r="R143" s="3" t="str">
        <f>HYPERLINK("..\..\Imagery\ScannedGeochron\UPb\Scha1986Fig8a.jpg")</f>
        <v>..\..\Imagery\ScannedGeochron\UPb\Scha1986Fig8a.jpg</v>
      </c>
      <c r="S143" t="s">
        <v>647</v>
      </c>
    </row>
    <row r="144" spans="1:19" x14ac:dyDescent="0.25">
      <c r="A144" t="s">
        <v>648</v>
      </c>
      <c r="B144" t="s">
        <v>649</v>
      </c>
      <c r="C144" t="s">
        <v>21</v>
      </c>
      <c r="D144">
        <v>407922</v>
      </c>
      <c r="E144">
        <v>6005898</v>
      </c>
      <c r="F144">
        <v>21</v>
      </c>
      <c r="G144" t="s">
        <v>22</v>
      </c>
      <c r="I144" t="s">
        <v>650</v>
      </c>
      <c r="J144" t="s">
        <v>651</v>
      </c>
      <c r="K144">
        <v>1474</v>
      </c>
      <c r="L144" t="s">
        <v>69</v>
      </c>
      <c r="M144" t="s">
        <v>36</v>
      </c>
      <c r="N144" t="s">
        <v>28</v>
      </c>
      <c r="O144" t="s">
        <v>70</v>
      </c>
      <c r="P144" t="s">
        <v>30</v>
      </c>
      <c r="Q144" t="s">
        <v>71</v>
      </c>
      <c r="R144" s="3" t="str">
        <f>HYPERLINK("..\..\Imagery\ScannedGeochron\UPb\Corr2000Fig5b.jpg")</f>
        <v>..\..\Imagery\ScannedGeochron\UPb\Corr2000Fig5b.jpg</v>
      </c>
    </row>
    <row r="145" spans="1:19" x14ac:dyDescent="0.25">
      <c r="A145" t="s">
        <v>652</v>
      </c>
      <c r="B145" t="s">
        <v>652</v>
      </c>
      <c r="C145" t="s">
        <v>21</v>
      </c>
      <c r="D145">
        <v>344895</v>
      </c>
      <c r="E145">
        <v>6007388</v>
      </c>
      <c r="F145">
        <v>21</v>
      </c>
      <c r="G145" t="s">
        <v>22</v>
      </c>
      <c r="I145" t="s">
        <v>653</v>
      </c>
      <c r="J145" t="s">
        <v>654</v>
      </c>
      <c r="K145">
        <v>1626</v>
      </c>
      <c r="L145" t="s">
        <v>69</v>
      </c>
      <c r="M145" t="s">
        <v>36</v>
      </c>
      <c r="N145" t="s">
        <v>104</v>
      </c>
      <c r="O145" t="s">
        <v>655</v>
      </c>
      <c r="P145" t="s">
        <v>30</v>
      </c>
      <c r="Q145" t="s">
        <v>656</v>
      </c>
      <c r="R145" s="3" t="str">
        <f>HYPERLINK("..\..\Imagery\ScannedGeochron\UPb\Corr1997Fig1.jpg")</f>
        <v>..\..\Imagery\ScannedGeochron\UPb\Corr1997Fig1.jpg</v>
      </c>
      <c r="S145" t="s">
        <v>657</v>
      </c>
    </row>
    <row r="146" spans="1:19" x14ac:dyDescent="0.25">
      <c r="A146" t="s">
        <v>385</v>
      </c>
      <c r="B146" t="s">
        <v>658</v>
      </c>
      <c r="C146" t="s">
        <v>21</v>
      </c>
      <c r="D146">
        <v>585432</v>
      </c>
      <c r="E146">
        <v>5812031</v>
      </c>
      <c r="F146">
        <v>21</v>
      </c>
      <c r="G146" t="s">
        <v>22</v>
      </c>
      <c r="I146" t="s">
        <v>659</v>
      </c>
      <c r="J146" t="s">
        <v>660</v>
      </c>
      <c r="K146">
        <v>1644</v>
      </c>
      <c r="L146" t="s">
        <v>69</v>
      </c>
      <c r="M146" t="s">
        <v>36</v>
      </c>
      <c r="N146" t="s">
        <v>28</v>
      </c>
      <c r="O146" t="s">
        <v>661</v>
      </c>
      <c r="P146" t="s">
        <v>30</v>
      </c>
      <c r="Q146" t="s">
        <v>389</v>
      </c>
      <c r="R146" s="3" t="str">
        <f>HYPERLINK("..\..\Imagery\ScannedGeochron\UPb\Scot1993Fig3d.jpg")</f>
        <v>..\..\Imagery\ScannedGeochron\UPb\Scot1993Fig3d.jpg</v>
      </c>
      <c r="S146" t="s">
        <v>662</v>
      </c>
    </row>
    <row r="147" spans="1:19" x14ac:dyDescent="0.25">
      <c r="A147" t="s">
        <v>151</v>
      </c>
      <c r="B147" t="s">
        <v>350</v>
      </c>
      <c r="C147" t="s">
        <v>21</v>
      </c>
      <c r="D147">
        <v>480915</v>
      </c>
      <c r="E147">
        <v>5931165</v>
      </c>
      <c r="F147">
        <v>21</v>
      </c>
      <c r="G147" t="s">
        <v>22</v>
      </c>
      <c r="H147" t="s">
        <v>23</v>
      </c>
      <c r="I147" t="s">
        <v>351</v>
      </c>
      <c r="J147" t="s">
        <v>663</v>
      </c>
      <c r="K147">
        <v>1660</v>
      </c>
      <c r="L147" t="s">
        <v>26</v>
      </c>
      <c r="M147" t="s">
        <v>36</v>
      </c>
      <c r="N147" t="s">
        <v>28</v>
      </c>
      <c r="O147" t="s">
        <v>353</v>
      </c>
      <c r="P147" t="s">
        <v>30</v>
      </c>
      <c r="Q147" t="s">
        <v>291</v>
      </c>
      <c r="R147" s="3" t="str">
        <f>HYPERLINK("..\..\Imagery\ScannedGeochron\UPb\Gowe1992Fig4a.jpg")</f>
        <v>..\..\Imagery\ScannedGeochron\UPb\Gowe1992Fig4a.jpg</v>
      </c>
      <c r="S147" t="s">
        <v>664</v>
      </c>
    </row>
    <row r="148" spans="1:19" x14ac:dyDescent="0.25">
      <c r="A148" t="s">
        <v>640</v>
      </c>
      <c r="B148" t="s">
        <v>640</v>
      </c>
      <c r="C148" t="s">
        <v>21</v>
      </c>
      <c r="D148">
        <v>584464</v>
      </c>
      <c r="E148">
        <v>5818943</v>
      </c>
      <c r="F148">
        <v>21</v>
      </c>
      <c r="G148" t="s">
        <v>22</v>
      </c>
      <c r="I148" t="s">
        <v>641</v>
      </c>
      <c r="J148" t="s">
        <v>665</v>
      </c>
      <c r="K148">
        <v>1664</v>
      </c>
      <c r="L148" t="s">
        <v>69</v>
      </c>
      <c r="M148" t="s">
        <v>36</v>
      </c>
      <c r="N148" t="s">
        <v>28</v>
      </c>
      <c r="O148" t="s">
        <v>643</v>
      </c>
      <c r="P148" t="s">
        <v>30</v>
      </c>
      <c r="Q148" t="s">
        <v>389</v>
      </c>
      <c r="R148" s="3" t="str">
        <f>HYPERLINK("..\..\Imagery\ScannedGeochron\UPb\Scot1993Fig3b.jpg")</f>
        <v>..\..\Imagery\ScannedGeochron\UPb\Scot1993Fig3b.jpg</v>
      </c>
      <c r="S148" t="s">
        <v>666</v>
      </c>
    </row>
    <row r="149" spans="1:19" x14ac:dyDescent="0.25">
      <c r="A149" t="s">
        <v>362</v>
      </c>
      <c r="B149" t="s">
        <v>362</v>
      </c>
      <c r="C149" t="s">
        <v>21</v>
      </c>
      <c r="D149">
        <v>379094</v>
      </c>
      <c r="E149">
        <v>5982569</v>
      </c>
      <c r="F149">
        <v>21</v>
      </c>
      <c r="G149" t="s">
        <v>22</v>
      </c>
      <c r="I149" t="s">
        <v>363</v>
      </c>
      <c r="J149" t="s">
        <v>667</v>
      </c>
      <c r="K149">
        <v>1678</v>
      </c>
      <c r="L149" t="s">
        <v>69</v>
      </c>
      <c r="M149" t="s">
        <v>36</v>
      </c>
      <c r="N149" t="s">
        <v>28</v>
      </c>
      <c r="O149" t="s">
        <v>668</v>
      </c>
      <c r="P149" t="s">
        <v>30</v>
      </c>
      <c r="Q149" t="s">
        <v>79</v>
      </c>
      <c r="R149" s="3" t="str">
        <f>HYPERLINK("..\..\Imagery\ScannedGeochron\UPb\Scha1986Fig8b.jpg")</f>
        <v>..\..\Imagery\ScannedGeochron\UPb\Scha1986Fig8b.jpg</v>
      </c>
      <c r="S149" t="s">
        <v>669</v>
      </c>
    </row>
    <row r="150" spans="1:19" x14ac:dyDescent="0.25">
      <c r="A150" t="s">
        <v>670</v>
      </c>
      <c r="B150" t="s">
        <v>671</v>
      </c>
      <c r="C150" t="s">
        <v>21</v>
      </c>
      <c r="D150">
        <v>420004</v>
      </c>
      <c r="E150">
        <v>6007582</v>
      </c>
      <c r="F150">
        <v>21</v>
      </c>
      <c r="G150" t="s">
        <v>22</v>
      </c>
      <c r="I150" t="s">
        <v>672</v>
      </c>
      <c r="J150" t="s">
        <v>673</v>
      </c>
      <c r="K150">
        <v>1047</v>
      </c>
      <c r="L150" t="s">
        <v>69</v>
      </c>
      <c r="M150" t="s">
        <v>263</v>
      </c>
      <c r="N150" t="s">
        <v>58</v>
      </c>
      <c r="O150" t="s">
        <v>463</v>
      </c>
      <c r="P150" t="s">
        <v>674</v>
      </c>
      <c r="Q150" t="s">
        <v>71</v>
      </c>
      <c r="R150" s="3" t="str">
        <f>HYPERLINK("..\..\Imagery\ScannedGeochron\UPb\Corr2000Fig11c.jpg")</f>
        <v>..\..\Imagery\ScannedGeochron\UPb\Corr2000Fig11c.jpg</v>
      </c>
      <c r="S150" t="s">
        <v>675</v>
      </c>
    </row>
    <row r="151" spans="1:19" x14ac:dyDescent="0.25">
      <c r="A151" t="s">
        <v>676</v>
      </c>
      <c r="B151" t="s">
        <v>677</v>
      </c>
      <c r="C151" t="s">
        <v>21</v>
      </c>
      <c r="D151">
        <v>462216</v>
      </c>
      <c r="E151">
        <v>5837217</v>
      </c>
      <c r="F151">
        <v>21</v>
      </c>
      <c r="G151" t="s">
        <v>22</v>
      </c>
      <c r="I151" t="s">
        <v>678</v>
      </c>
      <c r="J151" t="s">
        <v>679</v>
      </c>
      <c r="K151">
        <v>1495</v>
      </c>
      <c r="L151" t="s">
        <v>172</v>
      </c>
      <c r="M151" t="s">
        <v>36</v>
      </c>
      <c r="N151" t="s">
        <v>104</v>
      </c>
      <c r="O151" t="s">
        <v>680</v>
      </c>
      <c r="P151" t="s">
        <v>30</v>
      </c>
      <c r="Q151" t="s">
        <v>174</v>
      </c>
      <c r="R151" s="3" t="str">
        <f>HYPERLINK("..\..\Imagery\ScannedGeochron\UPb\Wast1997Fig4b.jpg")</f>
        <v>..\..\Imagery\ScannedGeochron\UPb\Wast1997Fig4b.jpg</v>
      </c>
    </row>
    <row r="152" spans="1:19" x14ac:dyDescent="0.25">
      <c r="A152" t="s">
        <v>588</v>
      </c>
      <c r="B152" t="s">
        <v>612</v>
      </c>
      <c r="C152" t="s">
        <v>21</v>
      </c>
      <c r="D152">
        <v>404410</v>
      </c>
      <c r="E152">
        <v>5836945</v>
      </c>
      <c r="F152">
        <v>21</v>
      </c>
      <c r="G152" t="s">
        <v>22</v>
      </c>
      <c r="I152" t="s">
        <v>613</v>
      </c>
      <c r="J152" t="s">
        <v>681</v>
      </c>
      <c r="K152">
        <v>1498</v>
      </c>
      <c r="L152" t="s">
        <v>198</v>
      </c>
      <c r="M152" t="s">
        <v>36</v>
      </c>
      <c r="N152" t="s">
        <v>28</v>
      </c>
      <c r="O152" t="s">
        <v>682</v>
      </c>
      <c r="P152" t="s">
        <v>30</v>
      </c>
      <c r="Q152" t="s">
        <v>181</v>
      </c>
      <c r="R152" s="3" t="str">
        <f>HYPERLINK("..\..\Imagery\ScannedGeochron\UPb\Gowe2008Fig6e.jpg")</f>
        <v>..\..\Imagery\ScannedGeochron\UPb\Gowe2008Fig6e.jpg</v>
      </c>
      <c r="S152" t="s">
        <v>683</v>
      </c>
    </row>
    <row r="153" spans="1:19" x14ac:dyDescent="0.25">
      <c r="A153" t="s">
        <v>604</v>
      </c>
      <c r="B153" t="s">
        <v>604</v>
      </c>
      <c r="C153" t="s">
        <v>21</v>
      </c>
      <c r="D153">
        <v>400988</v>
      </c>
      <c r="E153">
        <v>5830857</v>
      </c>
      <c r="F153">
        <v>21</v>
      </c>
      <c r="G153" t="s">
        <v>22</v>
      </c>
      <c r="I153" t="s">
        <v>605</v>
      </c>
      <c r="J153" t="s">
        <v>684</v>
      </c>
      <c r="K153">
        <v>1501</v>
      </c>
      <c r="L153" t="s">
        <v>198</v>
      </c>
      <c r="M153" t="s">
        <v>36</v>
      </c>
      <c r="N153" t="s">
        <v>28</v>
      </c>
      <c r="O153" t="s">
        <v>685</v>
      </c>
      <c r="P153" t="s">
        <v>30</v>
      </c>
      <c r="Q153" t="s">
        <v>181</v>
      </c>
      <c r="R153" s="3" t="str">
        <f>HYPERLINK("..\..\Imagery\ScannedGeochron\UPb\Gowe2008Fig6d.jpg")</f>
        <v>..\..\Imagery\ScannedGeochron\UPb\Gowe2008Fig6d.jpg</v>
      </c>
      <c r="S153" t="s">
        <v>686</v>
      </c>
    </row>
    <row r="154" spans="1:19" x14ac:dyDescent="0.25">
      <c r="A154" t="s">
        <v>168</v>
      </c>
      <c r="B154" t="s">
        <v>169</v>
      </c>
      <c r="C154" t="s">
        <v>21</v>
      </c>
      <c r="D154">
        <v>453625</v>
      </c>
      <c r="E154">
        <v>5827650</v>
      </c>
      <c r="F154">
        <v>21</v>
      </c>
      <c r="G154" t="s">
        <v>22</v>
      </c>
      <c r="I154" t="s">
        <v>170</v>
      </c>
      <c r="J154" t="s">
        <v>687</v>
      </c>
      <c r="K154">
        <v>1501</v>
      </c>
      <c r="L154" t="s">
        <v>172</v>
      </c>
      <c r="M154" t="s">
        <v>36</v>
      </c>
      <c r="N154" t="s">
        <v>104</v>
      </c>
      <c r="O154" t="s">
        <v>688</v>
      </c>
      <c r="P154" t="s">
        <v>30</v>
      </c>
      <c r="Q154" t="s">
        <v>174</v>
      </c>
      <c r="R154" s="3" t="str">
        <f>HYPERLINK("..\..\Imagery\ScannedGeochron\UPb\Wast1997Fig4c.jpg")</f>
        <v>..\..\Imagery\ScannedGeochron\UPb\Wast1997Fig4c.jpg</v>
      </c>
    </row>
    <row r="155" spans="1:19" x14ac:dyDescent="0.25">
      <c r="A155" t="s">
        <v>323</v>
      </c>
      <c r="B155" t="s">
        <v>323</v>
      </c>
      <c r="C155" t="s">
        <v>21</v>
      </c>
      <c r="D155">
        <v>311983</v>
      </c>
      <c r="E155">
        <v>5846050</v>
      </c>
      <c r="F155">
        <v>21</v>
      </c>
      <c r="G155" t="s">
        <v>22</v>
      </c>
      <c r="I155" t="s">
        <v>324</v>
      </c>
      <c r="J155" t="s">
        <v>689</v>
      </c>
      <c r="K155">
        <v>1626</v>
      </c>
      <c r="L155" t="s">
        <v>172</v>
      </c>
      <c r="M155" t="s">
        <v>263</v>
      </c>
      <c r="N155" t="s">
        <v>58</v>
      </c>
      <c r="O155" t="s">
        <v>306</v>
      </c>
      <c r="P155" t="s">
        <v>39</v>
      </c>
      <c r="Q155" t="s">
        <v>181</v>
      </c>
      <c r="R155" s="3" t="str">
        <f>HYPERLINK("..\..\Imagery\ScannedGeochron\UPb\Gowe2008Fig4f.jpg")</f>
        <v>..\..\Imagery\ScannedGeochron\UPb\Gowe2008Fig4f.jpg</v>
      </c>
    </row>
    <row r="156" spans="1:19" x14ac:dyDescent="0.25">
      <c r="A156" t="s">
        <v>310</v>
      </c>
      <c r="B156" t="s">
        <v>690</v>
      </c>
      <c r="C156" t="s">
        <v>21</v>
      </c>
      <c r="D156">
        <v>344444</v>
      </c>
      <c r="E156">
        <v>5836488</v>
      </c>
      <c r="F156">
        <v>21</v>
      </c>
      <c r="G156" t="s">
        <v>22</v>
      </c>
      <c r="H156" t="s">
        <v>23</v>
      </c>
      <c r="I156" t="s">
        <v>691</v>
      </c>
      <c r="J156" t="s">
        <v>692</v>
      </c>
      <c r="K156">
        <v>1626</v>
      </c>
      <c r="L156" t="s">
        <v>172</v>
      </c>
      <c r="M156" t="s">
        <v>36</v>
      </c>
      <c r="N156" t="s">
        <v>28</v>
      </c>
      <c r="O156" t="s">
        <v>38</v>
      </c>
      <c r="P156" t="s">
        <v>39</v>
      </c>
      <c r="Q156" t="s">
        <v>181</v>
      </c>
      <c r="R156" s="3" t="str">
        <f>HYPERLINK("..\..\Imagery\ScannedGeochron\UPb\Gowe2008Fig4b.jpg")</f>
        <v>..\..\Imagery\ScannedGeochron\UPb\Gowe2008Fig4b.jpg</v>
      </c>
      <c r="S156" t="s">
        <v>693</v>
      </c>
    </row>
    <row r="157" spans="1:19" x14ac:dyDescent="0.25">
      <c r="A157" t="s">
        <v>189</v>
      </c>
      <c r="B157" t="s">
        <v>189</v>
      </c>
      <c r="C157" t="s">
        <v>21</v>
      </c>
      <c r="D157">
        <v>435845</v>
      </c>
      <c r="E157">
        <v>5876075</v>
      </c>
      <c r="F157">
        <v>21</v>
      </c>
      <c r="G157" t="s">
        <v>22</v>
      </c>
      <c r="I157" t="s">
        <v>190</v>
      </c>
      <c r="J157" t="s">
        <v>694</v>
      </c>
      <c r="K157">
        <v>1631</v>
      </c>
      <c r="L157" t="s">
        <v>172</v>
      </c>
      <c r="M157" t="s">
        <v>263</v>
      </c>
      <c r="N157" t="s">
        <v>58</v>
      </c>
      <c r="O157" t="s">
        <v>695</v>
      </c>
      <c r="P157" t="s">
        <v>30</v>
      </c>
      <c r="Q157" t="s">
        <v>40</v>
      </c>
      <c r="R157" s="3" t="str">
        <f>HYPERLINK("..\..\Imagery\ScannedGeochron\UPb\Scha1988Fig4b.jpg")</f>
        <v>..\..\Imagery\ScannedGeochron\UPb\Scha1988Fig4b.jpg</v>
      </c>
      <c r="S157" t="s">
        <v>696</v>
      </c>
    </row>
    <row r="158" spans="1:19" x14ac:dyDescent="0.25">
      <c r="A158" t="s">
        <v>442</v>
      </c>
      <c r="B158" t="s">
        <v>443</v>
      </c>
      <c r="C158" t="s">
        <v>21</v>
      </c>
      <c r="D158">
        <v>445850</v>
      </c>
      <c r="E158">
        <v>5771550</v>
      </c>
      <c r="F158">
        <v>21</v>
      </c>
      <c r="G158" t="s">
        <v>22</v>
      </c>
      <c r="I158" t="s">
        <v>444</v>
      </c>
      <c r="J158" t="s">
        <v>697</v>
      </c>
      <c r="K158">
        <v>1649</v>
      </c>
      <c r="L158" t="s">
        <v>198</v>
      </c>
      <c r="M158" t="s">
        <v>36</v>
      </c>
      <c r="N158" t="s">
        <v>28</v>
      </c>
      <c r="O158" t="s">
        <v>533</v>
      </c>
      <c r="P158" t="s">
        <v>30</v>
      </c>
      <c r="Q158" t="s">
        <v>174</v>
      </c>
      <c r="R158" s="3" t="str">
        <f>HYPERLINK("..\..\Imagery\ScannedGeochron\UPb\Wast1997Fig3b.jpg")</f>
        <v>..\..\Imagery\ScannedGeochron\UPb\Wast1997Fig3b.jpg</v>
      </c>
      <c r="S158" t="s">
        <v>534</v>
      </c>
    </row>
    <row r="159" spans="1:19" x14ac:dyDescent="0.25">
      <c r="A159" t="s">
        <v>698</v>
      </c>
      <c r="B159" t="s">
        <v>698</v>
      </c>
      <c r="C159" t="s">
        <v>21</v>
      </c>
      <c r="D159">
        <v>525165</v>
      </c>
      <c r="E159">
        <v>5958255</v>
      </c>
      <c r="F159">
        <v>21</v>
      </c>
      <c r="G159" t="s">
        <v>22</v>
      </c>
      <c r="I159" t="s">
        <v>699</v>
      </c>
      <c r="J159" t="s">
        <v>700</v>
      </c>
      <c r="K159">
        <v>130</v>
      </c>
      <c r="L159" t="s">
        <v>77</v>
      </c>
      <c r="M159" t="s">
        <v>27</v>
      </c>
      <c r="N159" t="s">
        <v>320</v>
      </c>
      <c r="O159" t="s">
        <v>133</v>
      </c>
      <c r="P159" t="s">
        <v>212</v>
      </c>
      <c r="Q159" t="s">
        <v>701</v>
      </c>
      <c r="R159" s="3" t="str">
        <f>HYPERLINK("..\..\Imagery\ScannedGeochron\UPb\Kamo1994Fig2.jpg")</f>
        <v>..\..\Imagery\ScannedGeochron\UPb\Kamo1994Fig2.jpg</v>
      </c>
      <c r="S159" t="s">
        <v>344</v>
      </c>
    </row>
    <row r="160" spans="1:19" x14ac:dyDescent="0.25">
      <c r="A160" t="s">
        <v>698</v>
      </c>
      <c r="B160" t="s">
        <v>698</v>
      </c>
      <c r="C160" t="s">
        <v>21</v>
      </c>
      <c r="D160">
        <v>525165</v>
      </c>
      <c r="E160">
        <v>5958255</v>
      </c>
      <c r="F160">
        <v>21</v>
      </c>
      <c r="G160" t="s">
        <v>22</v>
      </c>
      <c r="I160" t="s">
        <v>699</v>
      </c>
      <c r="J160" t="s">
        <v>702</v>
      </c>
      <c r="K160">
        <v>614</v>
      </c>
      <c r="L160" t="s">
        <v>77</v>
      </c>
      <c r="M160" t="s">
        <v>27</v>
      </c>
      <c r="N160" t="s">
        <v>104</v>
      </c>
      <c r="O160" t="s">
        <v>133</v>
      </c>
      <c r="P160" t="s">
        <v>30</v>
      </c>
      <c r="Q160" t="s">
        <v>701</v>
      </c>
      <c r="R160" s="3" t="str">
        <f>HYPERLINK("..\..\Imagery\ScannedGeochron\UPb\Kamo1994Fig2.jpg")</f>
        <v>..\..\Imagery\ScannedGeochron\UPb\Kamo1994Fig2.jpg</v>
      </c>
      <c r="S160" t="s">
        <v>703</v>
      </c>
    </row>
    <row r="161" spans="1:19" x14ac:dyDescent="0.25">
      <c r="A161" t="s">
        <v>704</v>
      </c>
      <c r="B161" t="s">
        <v>704</v>
      </c>
      <c r="C161" t="s">
        <v>21</v>
      </c>
      <c r="D161">
        <v>293984</v>
      </c>
      <c r="E161">
        <v>5966929</v>
      </c>
      <c r="F161">
        <v>21</v>
      </c>
      <c r="G161" t="s">
        <v>22</v>
      </c>
      <c r="I161" t="s">
        <v>705</v>
      </c>
      <c r="J161" t="s">
        <v>706</v>
      </c>
      <c r="K161">
        <v>770</v>
      </c>
      <c r="L161" t="s">
        <v>77</v>
      </c>
      <c r="M161" t="s">
        <v>36</v>
      </c>
      <c r="N161" t="s">
        <v>320</v>
      </c>
      <c r="O161" t="s">
        <v>497</v>
      </c>
      <c r="P161" t="s">
        <v>212</v>
      </c>
      <c r="Q161" t="s">
        <v>707</v>
      </c>
      <c r="R161" s="3" t="str">
        <f>HYPERLINK("..\..\Imagery\ScannedGeochron\UPb\Gowe1997Fig3.jpg")</f>
        <v>..\..\Imagery\ScannedGeochron\UPb\Gowe1997Fig3.jpg</v>
      </c>
      <c r="S161" t="s">
        <v>603</v>
      </c>
    </row>
    <row r="162" spans="1:19" x14ac:dyDescent="0.25">
      <c r="A162" t="s">
        <v>99</v>
      </c>
      <c r="B162" t="s">
        <v>125</v>
      </c>
      <c r="C162" t="s">
        <v>21</v>
      </c>
      <c r="D162">
        <v>484461</v>
      </c>
      <c r="E162">
        <v>6033363</v>
      </c>
      <c r="F162">
        <v>21</v>
      </c>
      <c r="G162" t="s">
        <v>22</v>
      </c>
      <c r="H162" t="s">
        <v>23</v>
      </c>
      <c r="I162" t="s">
        <v>126</v>
      </c>
      <c r="J162" t="s">
        <v>708</v>
      </c>
      <c r="K162">
        <v>837</v>
      </c>
      <c r="L162" t="s">
        <v>77</v>
      </c>
      <c r="M162" t="s">
        <v>36</v>
      </c>
      <c r="N162" t="s">
        <v>320</v>
      </c>
      <c r="O162" t="s">
        <v>128</v>
      </c>
      <c r="P162" t="s">
        <v>212</v>
      </c>
      <c r="Q162" t="s">
        <v>31</v>
      </c>
      <c r="R162" s="3" t="str">
        <f>HYPERLINK("..\..\Imagery\ScannedGeochron\UPb\Krog2002Fig4b.jpg")</f>
        <v>..\..\Imagery\ScannedGeochron\UPb\Krog2002Fig4b.jpg</v>
      </c>
      <c r="S162" t="s">
        <v>344</v>
      </c>
    </row>
    <row r="163" spans="1:19" x14ac:dyDescent="0.25">
      <c r="A163" t="s">
        <v>92</v>
      </c>
      <c r="B163" t="s">
        <v>709</v>
      </c>
      <c r="C163" t="s">
        <v>21</v>
      </c>
      <c r="D163">
        <v>471486</v>
      </c>
      <c r="E163">
        <v>6004486</v>
      </c>
      <c r="F163">
        <v>21</v>
      </c>
      <c r="G163" t="s">
        <v>22</v>
      </c>
      <c r="H163" t="s">
        <v>23</v>
      </c>
      <c r="I163" t="s">
        <v>710</v>
      </c>
      <c r="J163" t="s">
        <v>711</v>
      </c>
      <c r="K163">
        <v>927</v>
      </c>
      <c r="L163" t="s">
        <v>77</v>
      </c>
      <c r="M163" t="s">
        <v>618</v>
      </c>
      <c r="N163" t="s">
        <v>104</v>
      </c>
      <c r="O163" t="s">
        <v>712</v>
      </c>
      <c r="P163" t="s">
        <v>359</v>
      </c>
      <c r="Q163" t="s">
        <v>79</v>
      </c>
      <c r="R163" s="3" t="str">
        <f>HYPERLINK("..\..\Imagery\ScannedGeochron\UPb\Scha1986Fig4b.jpg")</f>
        <v>..\..\Imagery\ScannedGeochron\UPb\Scha1986Fig4b.jpg</v>
      </c>
      <c r="S163" t="s">
        <v>713</v>
      </c>
    </row>
    <row r="164" spans="1:19" x14ac:dyDescent="0.25">
      <c r="A164" t="s">
        <v>108</v>
      </c>
      <c r="B164" t="s">
        <v>109</v>
      </c>
      <c r="C164" t="s">
        <v>21</v>
      </c>
      <c r="D164">
        <v>307977</v>
      </c>
      <c r="E164">
        <v>5987460</v>
      </c>
      <c r="F164">
        <v>21</v>
      </c>
      <c r="G164" t="s">
        <v>22</v>
      </c>
      <c r="I164" t="s">
        <v>110</v>
      </c>
      <c r="J164" t="s">
        <v>714</v>
      </c>
      <c r="K164">
        <v>941</v>
      </c>
      <c r="L164" t="s">
        <v>77</v>
      </c>
      <c r="M164" t="s">
        <v>36</v>
      </c>
      <c r="N164" t="s">
        <v>252</v>
      </c>
      <c r="O164" t="s">
        <v>112</v>
      </c>
      <c r="P164" t="s">
        <v>359</v>
      </c>
      <c r="Q164" t="s">
        <v>79</v>
      </c>
      <c r="R164" s="3" t="str">
        <f>HYPERLINK("..\..\Imagery\ScannedGeochron\UPb\Scha1986Fig7b.jpg")</f>
        <v>..\..\Imagery\ScannedGeochron\UPb\Scha1986Fig7b.jpg</v>
      </c>
    </row>
    <row r="165" spans="1:19" x14ac:dyDescent="0.25">
      <c r="A165" t="s">
        <v>92</v>
      </c>
      <c r="B165" t="s">
        <v>93</v>
      </c>
      <c r="C165" t="s">
        <v>21</v>
      </c>
      <c r="D165">
        <v>471486</v>
      </c>
      <c r="E165">
        <v>6004486</v>
      </c>
      <c r="F165">
        <v>21</v>
      </c>
      <c r="G165" t="s">
        <v>22</v>
      </c>
      <c r="H165" t="s">
        <v>23</v>
      </c>
      <c r="I165" t="s">
        <v>94</v>
      </c>
      <c r="J165" t="s">
        <v>715</v>
      </c>
      <c r="K165">
        <v>968</v>
      </c>
      <c r="L165" t="s">
        <v>77</v>
      </c>
      <c r="M165" t="s">
        <v>103</v>
      </c>
      <c r="N165" t="s">
        <v>58</v>
      </c>
      <c r="O165" t="s">
        <v>105</v>
      </c>
      <c r="P165" t="s">
        <v>39</v>
      </c>
      <c r="Q165" t="s">
        <v>79</v>
      </c>
      <c r="R165" s="3" t="str">
        <f>HYPERLINK("..\..\Imagery\ScannedGeochron\UPb\Scha1986Fig4b.jpg")</f>
        <v>..\..\Imagery\ScannedGeochron\UPb\Scha1986Fig4b.jpg</v>
      </c>
    </row>
    <row r="166" spans="1:19" x14ac:dyDescent="0.25">
      <c r="A166" t="s">
        <v>73</v>
      </c>
      <c r="B166" t="s">
        <v>87</v>
      </c>
      <c r="C166" t="s">
        <v>21</v>
      </c>
      <c r="D166">
        <v>504835</v>
      </c>
      <c r="E166">
        <v>5970254</v>
      </c>
      <c r="F166">
        <v>21</v>
      </c>
      <c r="G166" t="s">
        <v>22</v>
      </c>
      <c r="H166" t="s">
        <v>23</v>
      </c>
      <c r="I166" t="s">
        <v>88</v>
      </c>
      <c r="J166" t="s">
        <v>716</v>
      </c>
      <c r="K166">
        <v>978</v>
      </c>
      <c r="L166" t="s">
        <v>77</v>
      </c>
      <c r="M166" t="s">
        <v>103</v>
      </c>
      <c r="N166" t="s">
        <v>104</v>
      </c>
      <c r="O166" t="s">
        <v>717</v>
      </c>
      <c r="P166" t="s">
        <v>39</v>
      </c>
      <c r="Q166" t="s">
        <v>79</v>
      </c>
      <c r="R166" s="3" t="str">
        <f>HYPERLINK("..\..\Imagery\ScannedGeochron\UPb\Scha1986Fig6a.jpg")</f>
        <v>..\..\Imagery\ScannedGeochron\UPb\Scha1986Fig6a.jpg</v>
      </c>
      <c r="S166" t="s">
        <v>718</v>
      </c>
    </row>
    <row r="167" spans="1:19" x14ac:dyDescent="0.25">
      <c r="A167" t="s">
        <v>92</v>
      </c>
      <c r="B167" t="s">
        <v>157</v>
      </c>
      <c r="C167" t="s">
        <v>21</v>
      </c>
      <c r="D167">
        <v>471486</v>
      </c>
      <c r="E167">
        <v>6004486</v>
      </c>
      <c r="F167">
        <v>21</v>
      </c>
      <c r="G167" t="s">
        <v>22</v>
      </c>
      <c r="H167" t="s">
        <v>23</v>
      </c>
      <c r="I167" t="s">
        <v>158</v>
      </c>
      <c r="J167" t="s">
        <v>719</v>
      </c>
      <c r="K167">
        <v>972</v>
      </c>
      <c r="L167" t="s">
        <v>77</v>
      </c>
      <c r="M167" t="s">
        <v>103</v>
      </c>
      <c r="N167" t="s">
        <v>58</v>
      </c>
      <c r="O167" t="s">
        <v>166</v>
      </c>
      <c r="P167" t="s">
        <v>39</v>
      </c>
      <c r="Q167" t="s">
        <v>79</v>
      </c>
      <c r="R167" s="3" t="str">
        <f>HYPERLINK("..\..\Imagery\ScannedGeochron\UPb\Scha1986Fig4a.jpg")</f>
        <v>..\..\Imagery\ScannedGeochron\UPb\Scha1986Fig4a.jpg</v>
      </c>
    </row>
    <row r="168" spans="1:19" x14ac:dyDescent="0.25">
      <c r="A168" t="s">
        <v>114</v>
      </c>
      <c r="B168" t="s">
        <v>115</v>
      </c>
      <c r="C168" t="s">
        <v>21</v>
      </c>
      <c r="D168">
        <v>537273</v>
      </c>
      <c r="E168">
        <v>5961616</v>
      </c>
      <c r="F168">
        <v>21</v>
      </c>
      <c r="G168" t="s">
        <v>22</v>
      </c>
      <c r="I168" t="s">
        <v>116</v>
      </c>
      <c r="J168" t="s">
        <v>720</v>
      </c>
      <c r="K168">
        <v>973</v>
      </c>
      <c r="L168" t="s">
        <v>77</v>
      </c>
      <c r="M168" t="s">
        <v>103</v>
      </c>
      <c r="N168" t="s">
        <v>104</v>
      </c>
      <c r="O168" t="s">
        <v>721</v>
      </c>
      <c r="P168" t="s">
        <v>39</v>
      </c>
      <c r="Q168" t="s">
        <v>31</v>
      </c>
      <c r="R168" s="3" t="str">
        <f>HYPERLINK("..\..\Imagery\ScannedGeochron\UPb\Kamo1996Fig3.jpg")</f>
        <v>..\..\Imagery\ScannedGeochron\UPb\Kamo1996Fig3.jpg</v>
      </c>
      <c r="S168" t="s">
        <v>722</v>
      </c>
    </row>
    <row r="169" spans="1:19" x14ac:dyDescent="0.25">
      <c r="A169" t="s">
        <v>73</v>
      </c>
      <c r="B169" t="s">
        <v>139</v>
      </c>
      <c r="C169" t="s">
        <v>21</v>
      </c>
      <c r="D169">
        <v>504835</v>
      </c>
      <c r="E169">
        <v>5970254</v>
      </c>
      <c r="F169">
        <v>21</v>
      </c>
      <c r="G169" t="s">
        <v>22</v>
      </c>
      <c r="H169" t="s">
        <v>23</v>
      </c>
      <c r="I169" t="s">
        <v>140</v>
      </c>
      <c r="J169" t="s">
        <v>716</v>
      </c>
      <c r="K169">
        <v>978</v>
      </c>
      <c r="L169" t="s">
        <v>77</v>
      </c>
      <c r="M169" t="s">
        <v>103</v>
      </c>
      <c r="N169" t="s">
        <v>58</v>
      </c>
      <c r="O169" t="s">
        <v>723</v>
      </c>
      <c r="P169" t="s">
        <v>39</v>
      </c>
      <c r="Q169" t="s">
        <v>79</v>
      </c>
      <c r="R169" s="3" t="str">
        <f>HYPERLINK("..\..\Imagery\ScannedGeochron\UPb\Scha1986Fig5b.jpg")</f>
        <v>..\..\Imagery\ScannedGeochron\UPb\Scha1986Fig5b.jpg</v>
      </c>
    </row>
    <row r="170" spans="1:19" x14ac:dyDescent="0.25">
      <c r="A170" t="s">
        <v>130</v>
      </c>
      <c r="B170" t="s">
        <v>130</v>
      </c>
      <c r="C170" t="s">
        <v>21</v>
      </c>
      <c r="D170">
        <v>460400</v>
      </c>
      <c r="E170">
        <v>6027550</v>
      </c>
      <c r="F170">
        <v>21</v>
      </c>
      <c r="G170" t="s">
        <v>22</v>
      </c>
      <c r="I170" t="s">
        <v>131</v>
      </c>
      <c r="J170" t="s">
        <v>724</v>
      </c>
      <c r="K170">
        <v>980</v>
      </c>
      <c r="L170" t="s">
        <v>77</v>
      </c>
      <c r="M170" t="s">
        <v>103</v>
      </c>
      <c r="N170" t="s">
        <v>58</v>
      </c>
      <c r="O170" t="s">
        <v>105</v>
      </c>
      <c r="P170" t="s">
        <v>39</v>
      </c>
      <c r="Q170" t="s">
        <v>40</v>
      </c>
      <c r="R170" s="3" t="str">
        <f>HYPERLINK("..\..\Imagery\ScannedGeochron\UPb\Scha1988Fig2a.jpg")</f>
        <v>..\..\Imagery\ScannedGeochron\UPb\Scha1988Fig2a.jpg</v>
      </c>
    </row>
    <row r="171" spans="1:19" x14ac:dyDescent="0.25">
      <c r="A171" t="s">
        <v>81</v>
      </c>
      <c r="B171" t="s">
        <v>82</v>
      </c>
      <c r="C171" t="s">
        <v>21</v>
      </c>
      <c r="D171">
        <v>421258</v>
      </c>
      <c r="E171">
        <v>6014622</v>
      </c>
      <c r="F171">
        <v>21</v>
      </c>
      <c r="G171" t="s">
        <v>22</v>
      </c>
      <c r="I171" t="s">
        <v>83</v>
      </c>
      <c r="J171" t="s">
        <v>725</v>
      </c>
      <c r="K171">
        <v>1010</v>
      </c>
      <c r="L171" t="s">
        <v>77</v>
      </c>
      <c r="M171" t="s">
        <v>27</v>
      </c>
      <c r="N171" t="s">
        <v>320</v>
      </c>
      <c r="O171" t="s">
        <v>85</v>
      </c>
      <c r="P171" t="s">
        <v>39</v>
      </c>
      <c r="Q171" t="s">
        <v>71</v>
      </c>
      <c r="R171" s="3" t="str">
        <f>HYPERLINK("..\..\Imagery\ScannedGeochron\UPb\Corr2000Fig6.jpg")</f>
        <v>..\..\Imagery\ScannedGeochron\UPb\Corr2000Fig6.jpg</v>
      </c>
    </row>
    <row r="172" spans="1:19" x14ac:dyDescent="0.25">
      <c r="A172" t="s">
        <v>120</v>
      </c>
      <c r="B172" t="s">
        <v>120</v>
      </c>
      <c r="C172" t="s">
        <v>21</v>
      </c>
      <c r="D172">
        <v>527372</v>
      </c>
      <c r="E172">
        <v>5944530</v>
      </c>
      <c r="F172">
        <v>21</v>
      </c>
      <c r="G172" t="s">
        <v>22</v>
      </c>
      <c r="I172" t="s">
        <v>121</v>
      </c>
      <c r="J172" t="s">
        <v>726</v>
      </c>
      <c r="K172">
        <v>1020</v>
      </c>
      <c r="L172" t="s">
        <v>77</v>
      </c>
      <c r="M172" t="s">
        <v>103</v>
      </c>
      <c r="N172" t="s">
        <v>58</v>
      </c>
      <c r="O172" t="s">
        <v>727</v>
      </c>
      <c r="P172" t="s">
        <v>39</v>
      </c>
      <c r="Q172" t="s">
        <v>31</v>
      </c>
      <c r="R172" s="3" t="str">
        <f>HYPERLINK("..\..\Imagery\ScannedGeochron\UPb\Kamo1996Fig4.jpg")</f>
        <v>..\..\Imagery\ScannedGeochron\UPb\Kamo1996Fig4.jpg</v>
      </c>
      <c r="S172" t="s">
        <v>728</v>
      </c>
    </row>
    <row r="173" spans="1:19" x14ac:dyDescent="0.25">
      <c r="A173" t="s">
        <v>99</v>
      </c>
      <c r="B173" t="s">
        <v>729</v>
      </c>
      <c r="C173" t="s">
        <v>21</v>
      </c>
      <c r="D173">
        <v>484461</v>
      </c>
      <c r="E173">
        <v>6033363</v>
      </c>
      <c r="F173">
        <v>21</v>
      </c>
      <c r="G173" t="s">
        <v>22</v>
      </c>
      <c r="H173" t="s">
        <v>23</v>
      </c>
      <c r="I173" t="s">
        <v>730</v>
      </c>
      <c r="J173" t="s">
        <v>731</v>
      </c>
      <c r="K173">
        <v>1500</v>
      </c>
      <c r="L173" t="s">
        <v>77</v>
      </c>
      <c r="M173" t="s">
        <v>103</v>
      </c>
      <c r="N173" t="s">
        <v>28</v>
      </c>
      <c r="O173" t="s">
        <v>321</v>
      </c>
      <c r="P173" t="s">
        <v>30</v>
      </c>
      <c r="Q173" t="s">
        <v>106</v>
      </c>
      <c r="R173" s="3" t="str">
        <f>HYPERLINK("..\..\Imagery\ScannedGeochron\UPb\Krog2002Fig4a.jpg")</f>
        <v>..\..\Imagery\ScannedGeochron\UPb\Krog2002Fig4a.jpg</v>
      </c>
      <c r="S173" t="s">
        <v>732</v>
      </c>
    </row>
    <row r="174" spans="1:19" x14ac:dyDescent="0.25">
      <c r="A174" t="s">
        <v>704</v>
      </c>
      <c r="B174" t="s">
        <v>704</v>
      </c>
      <c r="C174" t="s">
        <v>21</v>
      </c>
      <c r="D174">
        <v>293984</v>
      </c>
      <c r="E174">
        <v>5966929</v>
      </c>
      <c r="F174">
        <v>21</v>
      </c>
      <c r="G174" t="s">
        <v>22</v>
      </c>
      <c r="I174" t="s">
        <v>705</v>
      </c>
      <c r="J174" t="s">
        <v>733</v>
      </c>
      <c r="K174">
        <v>1417</v>
      </c>
      <c r="L174" t="s">
        <v>77</v>
      </c>
      <c r="M174" t="s">
        <v>36</v>
      </c>
      <c r="N174" t="s">
        <v>104</v>
      </c>
      <c r="O174" t="s">
        <v>497</v>
      </c>
      <c r="P174" t="s">
        <v>30</v>
      </c>
      <c r="Q174" t="s">
        <v>707</v>
      </c>
      <c r="R174" s="3" t="str">
        <f>HYPERLINK("..\..\Imagery\ScannedGeochron\UPb\Gowe1997Fig3.jpg")</f>
        <v>..\..\Imagery\ScannedGeochron\UPb\Gowe1997Fig3.jpg</v>
      </c>
      <c r="S174" t="s">
        <v>734</v>
      </c>
    </row>
    <row r="175" spans="1:19" x14ac:dyDescent="0.25">
      <c r="A175" t="s">
        <v>248</v>
      </c>
      <c r="B175" t="s">
        <v>255</v>
      </c>
      <c r="C175" t="s">
        <v>21</v>
      </c>
      <c r="D175">
        <v>579966</v>
      </c>
      <c r="E175">
        <v>5850649</v>
      </c>
      <c r="F175">
        <v>21</v>
      </c>
      <c r="G175" t="s">
        <v>22</v>
      </c>
      <c r="H175" t="s">
        <v>23</v>
      </c>
      <c r="I175" t="s">
        <v>256</v>
      </c>
      <c r="J175" t="s">
        <v>735</v>
      </c>
      <c r="K175">
        <v>1645</v>
      </c>
      <c r="L175" t="s">
        <v>26</v>
      </c>
      <c r="M175" t="s">
        <v>36</v>
      </c>
      <c r="N175" t="s">
        <v>104</v>
      </c>
      <c r="O175" t="s">
        <v>258</v>
      </c>
      <c r="P175" t="s">
        <v>39</v>
      </c>
      <c r="Q175" t="s">
        <v>31</v>
      </c>
      <c r="R175" s="3" t="str">
        <f>HYPERLINK("..\..\Imagery\ScannedGeochron\UPb\Kamo1996Fig10.jpg")</f>
        <v>..\..\Imagery\ScannedGeochron\UPb\Kamo1996Fig10.jpg</v>
      </c>
      <c r="S175" t="s">
        <v>736</v>
      </c>
    </row>
    <row r="176" spans="1:19" x14ac:dyDescent="0.25">
      <c r="A176" t="s">
        <v>42</v>
      </c>
      <c r="B176" t="s">
        <v>61</v>
      </c>
      <c r="C176" t="s">
        <v>21</v>
      </c>
      <c r="D176">
        <v>580273</v>
      </c>
      <c r="E176">
        <v>5900047</v>
      </c>
      <c r="F176">
        <v>21</v>
      </c>
      <c r="G176" t="s">
        <v>22</v>
      </c>
      <c r="H176" t="s">
        <v>23</v>
      </c>
      <c r="I176" t="s">
        <v>62</v>
      </c>
      <c r="J176" t="s">
        <v>737</v>
      </c>
      <c r="K176">
        <v>1646</v>
      </c>
      <c r="L176" t="s">
        <v>26</v>
      </c>
      <c r="M176" t="s">
        <v>103</v>
      </c>
      <c r="N176" t="s">
        <v>58</v>
      </c>
      <c r="O176" t="s">
        <v>738</v>
      </c>
      <c r="P176" t="s">
        <v>39</v>
      </c>
      <c r="Q176" t="s">
        <v>40</v>
      </c>
      <c r="R176" s="3" t="str">
        <f>HYPERLINK("..\..\Imagery\ScannedGeochron\UPb\Scha1988Fig3c.jpg")</f>
        <v>..\..\Imagery\ScannedGeochron\UPb\Scha1988Fig3c.jpg</v>
      </c>
    </row>
    <row r="177" spans="1:19" x14ac:dyDescent="0.25">
      <c r="A177" t="s">
        <v>739</v>
      </c>
      <c r="B177" t="s">
        <v>740</v>
      </c>
      <c r="C177" t="s">
        <v>21</v>
      </c>
      <c r="D177">
        <v>516483</v>
      </c>
      <c r="E177">
        <v>5895068</v>
      </c>
      <c r="F177">
        <v>21</v>
      </c>
      <c r="G177" t="s">
        <v>22</v>
      </c>
      <c r="H177" t="s">
        <v>23</v>
      </c>
      <c r="I177" t="s">
        <v>741</v>
      </c>
      <c r="J177" t="s">
        <v>742</v>
      </c>
      <c r="K177">
        <v>1647</v>
      </c>
      <c r="L177" t="s">
        <v>26</v>
      </c>
      <c r="M177" t="s">
        <v>36</v>
      </c>
      <c r="N177" t="s">
        <v>28</v>
      </c>
      <c r="O177" t="s">
        <v>743</v>
      </c>
      <c r="P177" t="s">
        <v>39</v>
      </c>
      <c r="Q177" t="s">
        <v>291</v>
      </c>
      <c r="R177" s="3" t="str">
        <f>HYPERLINK("..\..\Imagery\ScannedGeochron\UPb\Gowe1992Fig4cd.jpg")</f>
        <v>..\..\Imagery\ScannedGeochron\UPb\Gowe1992Fig4cd.jpg</v>
      </c>
      <c r="S177" t="s">
        <v>744</v>
      </c>
    </row>
    <row r="178" spans="1:19" x14ac:dyDescent="0.25">
      <c r="A178" t="s">
        <v>48</v>
      </c>
      <c r="B178" t="s">
        <v>49</v>
      </c>
      <c r="C178" t="s">
        <v>21</v>
      </c>
      <c r="D178">
        <v>581927</v>
      </c>
      <c r="E178">
        <v>5899392</v>
      </c>
      <c r="F178">
        <v>21</v>
      </c>
      <c r="G178" t="s">
        <v>22</v>
      </c>
      <c r="I178" t="s">
        <v>50</v>
      </c>
      <c r="J178" t="s">
        <v>745</v>
      </c>
      <c r="K178">
        <v>1649</v>
      </c>
      <c r="L178" t="s">
        <v>26</v>
      </c>
      <c r="M178" t="s">
        <v>103</v>
      </c>
      <c r="N178" t="s">
        <v>58</v>
      </c>
      <c r="O178" t="s">
        <v>746</v>
      </c>
      <c r="P178" t="s">
        <v>39</v>
      </c>
      <c r="Q178" t="s">
        <v>40</v>
      </c>
      <c r="R178" s="3" t="str">
        <f>HYPERLINK("..\..\Imagery\ScannedGeochron\UPb\Scha1988Fig3b.jpg")</f>
        <v>..\..\Imagery\ScannedGeochron\UPb\Scha1988Fig3b.jpg</v>
      </c>
    </row>
    <row r="179" spans="1:19" x14ac:dyDescent="0.25">
      <c r="A179" t="s">
        <v>99</v>
      </c>
      <c r="B179" t="s">
        <v>747</v>
      </c>
      <c r="C179" t="s">
        <v>21</v>
      </c>
      <c r="D179">
        <v>484461</v>
      </c>
      <c r="E179">
        <v>6033363</v>
      </c>
      <c r="F179">
        <v>21</v>
      </c>
      <c r="G179" t="s">
        <v>22</v>
      </c>
      <c r="H179" t="s">
        <v>23</v>
      </c>
      <c r="I179" t="s">
        <v>748</v>
      </c>
      <c r="J179" t="s">
        <v>749</v>
      </c>
      <c r="K179">
        <v>1799</v>
      </c>
      <c r="L179" t="s">
        <v>77</v>
      </c>
      <c r="M179" t="s">
        <v>36</v>
      </c>
      <c r="N179" t="s">
        <v>28</v>
      </c>
      <c r="O179" t="s">
        <v>160</v>
      </c>
      <c r="P179" t="s">
        <v>30</v>
      </c>
      <c r="Q179" t="s">
        <v>106</v>
      </c>
      <c r="R179" s="3" t="str">
        <f>HYPERLINK("..\..\Imagery\ScannedGeochron\UPb\Krog2002Fig4b.jpg")</f>
        <v>..\..\Imagery\ScannedGeochron\UPb\Krog2002Fig4b.jpg</v>
      </c>
    </row>
    <row r="180" spans="1:19" x14ac:dyDescent="0.25">
      <c r="A180" t="s">
        <v>750</v>
      </c>
      <c r="B180" t="s">
        <v>751</v>
      </c>
      <c r="C180" t="s">
        <v>21</v>
      </c>
      <c r="D180">
        <v>275409</v>
      </c>
      <c r="E180">
        <v>5972063</v>
      </c>
      <c r="F180">
        <v>21</v>
      </c>
      <c r="G180" t="s">
        <v>22</v>
      </c>
      <c r="I180" t="s">
        <v>752</v>
      </c>
      <c r="J180" t="s">
        <v>753</v>
      </c>
      <c r="K180">
        <v>1038</v>
      </c>
      <c r="L180" t="s">
        <v>77</v>
      </c>
      <c r="M180" t="s">
        <v>36</v>
      </c>
      <c r="N180" t="s">
        <v>252</v>
      </c>
      <c r="O180" t="s">
        <v>754</v>
      </c>
      <c r="P180" t="s">
        <v>39</v>
      </c>
      <c r="Q180" t="s">
        <v>79</v>
      </c>
      <c r="R180" s="3" t="str">
        <f>HYPERLINK("..\..\Imagery\ScannedGeochron\UPb\Scha1986Fig7c.jpg")</f>
        <v>..\..\Imagery\ScannedGeochron\UPb\Scha1986Fig7c.jpg</v>
      </c>
    </row>
    <row r="181" spans="1:19" x14ac:dyDescent="0.25">
      <c r="A181" t="s">
        <v>750</v>
      </c>
      <c r="B181" t="s">
        <v>751</v>
      </c>
      <c r="C181" t="s">
        <v>21</v>
      </c>
      <c r="D181">
        <v>275409</v>
      </c>
      <c r="E181">
        <v>5972063</v>
      </c>
      <c r="F181">
        <v>21</v>
      </c>
      <c r="G181" t="s">
        <v>22</v>
      </c>
      <c r="I181" t="s">
        <v>752</v>
      </c>
      <c r="J181" t="s">
        <v>755</v>
      </c>
      <c r="K181">
        <v>1677</v>
      </c>
      <c r="L181" t="s">
        <v>77</v>
      </c>
      <c r="M181" t="s">
        <v>36</v>
      </c>
      <c r="N181" t="s">
        <v>28</v>
      </c>
      <c r="O181" t="s">
        <v>754</v>
      </c>
      <c r="P181" t="s">
        <v>30</v>
      </c>
      <c r="Q181" t="s">
        <v>79</v>
      </c>
      <c r="R181" s="3" t="str">
        <f>HYPERLINK("..\..\Imagery\ScannedGeochron\UPb\Scha1986Fig7c.jpg")</f>
        <v>..\..\Imagery\ScannedGeochron\UPb\Scha1986Fig7c.jpg</v>
      </c>
      <c r="S181" t="s">
        <v>756</v>
      </c>
    </row>
    <row r="182" spans="1:19" x14ac:dyDescent="0.25">
      <c r="A182" t="s">
        <v>48</v>
      </c>
      <c r="B182" t="s">
        <v>49</v>
      </c>
      <c r="C182" t="s">
        <v>21</v>
      </c>
      <c r="D182">
        <v>581927</v>
      </c>
      <c r="E182">
        <v>5899392</v>
      </c>
      <c r="F182">
        <v>21</v>
      </c>
      <c r="G182" t="s">
        <v>22</v>
      </c>
      <c r="I182" t="s">
        <v>50</v>
      </c>
      <c r="J182" t="s">
        <v>757</v>
      </c>
      <c r="K182">
        <v>127</v>
      </c>
      <c r="L182" t="s">
        <v>26</v>
      </c>
      <c r="M182" t="s">
        <v>36</v>
      </c>
      <c r="N182" t="s">
        <v>320</v>
      </c>
      <c r="O182" t="s">
        <v>52</v>
      </c>
      <c r="P182" t="s">
        <v>212</v>
      </c>
      <c r="Q182" t="s">
        <v>40</v>
      </c>
      <c r="R182" s="3" t="str">
        <f>HYPERLINK("..\..\Imagery\ScannedGeochron\UPb\Scha1988Fig3b.jpg")</f>
        <v>..\..\Imagery\ScannedGeochron\UPb\Scha1988Fig3b.jpg</v>
      </c>
      <c r="S182" t="s">
        <v>344</v>
      </c>
    </row>
    <row r="183" spans="1:19" x14ac:dyDescent="0.25">
      <c r="A183" t="s">
        <v>19</v>
      </c>
      <c r="B183" t="s">
        <v>20</v>
      </c>
      <c r="C183" t="s">
        <v>21</v>
      </c>
      <c r="D183">
        <v>494265</v>
      </c>
      <c r="E183">
        <v>5882723</v>
      </c>
      <c r="F183">
        <v>21</v>
      </c>
      <c r="G183" t="s">
        <v>22</v>
      </c>
      <c r="H183" t="s">
        <v>23</v>
      </c>
      <c r="I183" t="s">
        <v>24</v>
      </c>
      <c r="J183" t="s">
        <v>758</v>
      </c>
      <c r="K183">
        <v>1640</v>
      </c>
      <c r="L183" t="s">
        <v>26</v>
      </c>
      <c r="M183" t="s">
        <v>27</v>
      </c>
      <c r="N183" t="s">
        <v>28</v>
      </c>
      <c r="O183" t="s">
        <v>759</v>
      </c>
      <c r="P183" t="s">
        <v>760</v>
      </c>
      <c r="Q183" t="s">
        <v>31</v>
      </c>
      <c r="R183" s="3" t="str">
        <f>HYPERLINK("..\..\Imagery\ScannedGeochron\UPb\Kamo1996Fig12.jpg")</f>
        <v>..\..\Imagery\ScannedGeochron\UPb\Kamo1996Fig12.jpg</v>
      </c>
      <c r="S183" t="s">
        <v>761</v>
      </c>
    </row>
    <row r="184" spans="1:19" x14ac:dyDescent="0.25">
      <c r="A184" t="s">
        <v>54</v>
      </c>
      <c r="B184" t="s">
        <v>55</v>
      </c>
      <c r="C184" t="s">
        <v>21</v>
      </c>
      <c r="D184">
        <v>579503</v>
      </c>
      <c r="E184">
        <v>5894184</v>
      </c>
      <c r="F184">
        <v>21</v>
      </c>
      <c r="G184" t="s">
        <v>22</v>
      </c>
      <c r="H184" t="s">
        <v>23</v>
      </c>
      <c r="I184" t="s">
        <v>56</v>
      </c>
      <c r="J184" t="s">
        <v>762</v>
      </c>
      <c r="K184">
        <v>1642</v>
      </c>
      <c r="L184" t="s">
        <v>26</v>
      </c>
      <c r="M184" t="s">
        <v>103</v>
      </c>
      <c r="N184" t="s">
        <v>58</v>
      </c>
      <c r="O184" t="s">
        <v>763</v>
      </c>
      <c r="P184" t="s">
        <v>39</v>
      </c>
      <c r="Q184" t="s">
        <v>40</v>
      </c>
      <c r="R184" s="3" t="str">
        <f>HYPERLINK("..\..\Imagery\ScannedGeochron\UPb\Scha1988Fig3a.jpg")</f>
        <v>..\..\Imagery\ScannedGeochron\UPb\Scha1988Fig3a.jpg</v>
      </c>
    </row>
    <row r="185" spans="1:19" x14ac:dyDescent="0.25">
      <c r="A185" t="s">
        <v>764</v>
      </c>
      <c r="B185" t="s">
        <v>764</v>
      </c>
      <c r="C185" t="s">
        <v>21</v>
      </c>
      <c r="D185">
        <v>468425</v>
      </c>
      <c r="E185">
        <v>5939681</v>
      </c>
      <c r="F185">
        <v>21</v>
      </c>
      <c r="G185" t="s">
        <v>22</v>
      </c>
      <c r="I185" t="s">
        <v>699</v>
      </c>
      <c r="J185" t="s">
        <v>765</v>
      </c>
      <c r="K185">
        <v>255</v>
      </c>
      <c r="L185" t="s">
        <v>26</v>
      </c>
      <c r="M185" t="s">
        <v>27</v>
      </c>
      <c r="N185" t="s">
        <v>320</v>
      </c>
      <c r="O185" t="s">
        <v>766</v>
      </c>
      <c r="P185" t="s">
        <v>212</v>
      </c>
      <c r="Q185" t="s">
        <v>767</v>
      </c>
      <c r="R185" s="3" t="str">
        <f>HYPERLINK("..\..\Imagery\ScannedGeochron\UPb\Kamo1989Fig3.jpg")</f>
        <v>..\..\Imagery\ScannedGeochron\UPb\Kamo1989Fig3.jpg</v>
      </c>
      <c r="S185" t="s">
        <v>344</v>
      </c>
    </row>
    <row r="186" spans="1:19" x14ac:dyDescent="0.25">
      <c r="A186" t="s">
        <v>54</v>
      </c>
      <c r="B186" t="s">
        <v>287</v>
      </c>
      <c r="C186" t="s">
        <v>21</v>
      </c>
      <c r="D186">
        <v>579503</v>
      </c>
      <c r="E186">
        <v>5894184</v>
      </c>
      <c r="F186">
        <v>21</v>
      </c>
      <c r="G186" t="s">
        <v>22</v>
      </c>
      <c r="H186" t="s">
        <v>23</v>
      </c>
      <c r="I186" t="s">
        <v>768</v>
      </c>
      <c r="J186" t="s">
        <v>769</v>
      </c>
      <c r="K186">
        <v>320</v>
      </c>
      <c r="L186" t="s">
        <v>26</v>
      </c>
      <c r="M186" t="s">
        <v>290</v>
      </c>
      <c r="N186" t="s">
        <v>320</v>
      </c>
      <c r="O186" t="s">
        <v>128</v>
      </c>
      <c r="P186" t="s">
        <v>212</v>
      </c>
      <c r="Q186" t="s">
        <v>291</v>
      </c>
      <c r="R186" s="3" t="str">
        <f>HYPERLINK("..\..\Imagery\ScannedGeochron\UPb\Gowe1992Fig4b.jpg")</f>
        <v>..\..\Imagery\ScannedGeochron\UPb\Gowe1992Fig4b.jpg</v>
      </c>
      <c r="S186" t="s">
        <v>770</v>
      </c>
    </row>
    <row r="187" spans="1:19" x14ac:dyDescent="0.25">
      <c r="A187" t="s">
        <v>19</v>
      </c>
      <c r="B187" t="s">
        <v>293</v>
      </c>
      <c r="C187" t="s">
        <v>21</v>
      </c>
      <c r="D187">
        <v>494265</v>
      </c>
      <c r="E187">
        <v>5882723</v>
      </c>
      <c r="F187">
        <v>21</v>
      </c>
      <c r="G187" t="s">
        <v>22</v>
      </c>
      <c r="H187" t="s">
        <v>23</v>
      </c>
      <c r="I187" t="s">
        <v>294</v>
      </c>
      <c r="J187" t="s">
        <v>771</v>
      </c>
      <c r="K187">
        <v>320</v>
      </c>
      <c r="L187" t="s">
        <v>26</v>
      </c>
      <c r="M187" t="s">
        <v>772</v>
      </c>
      <c r="N187" t="s">
        <v>252</v>
      </c>
      <c r="O187" t="s">
        <v>773</v>
      </c>
      <c r="P187" t="s">
        <v>212</v>
      </c>
      <c r="Q187" t="s">
        <v>31</v>
      </c>
      <c r="R187" s="3" t="str">
        <f>HYPERLINK("..\..\Imagery\ScannedGeochron\UPb\Kamo1996Fig12.jpg")</f>
        <v>..\..\Imagery\ScannedGeochron\UPb\Kamo1996Fig12.jpg</v>
      </c>
      <c r="S187" t="s">
        <v>774</v>
      </c>
    </row>
    <row r="188" spans="1:19" x14ac:dyDescent="0.25">
      <c r="A188" t="s">
        <v>42</v>
      </c>
      <c r="B188" t="s">
        <v>43</v>
      </c>
      <c r="C188" t="s">
        <v>21</v>
      </c>
      <c r="D188">
        <v>580273</v>
      </c>
      <c r="E188">
        <v>5900047</v>
      </c>
      <c r="F188">
        <v>21</v>
      </c>
      <c r="G188" t="s">
        <v>22</v>
      </c>
      <c r="H188" t="s">
        <v>23</v>
      </c>
      <c r="I188" t="s">
        <v>44</v>
      </c>
      <c r="J188" t="s">
        <v>775</v>
      </c>
      <c r="K188">
        <v>425</v>
      </c>
      <c r="L188" t="s">
        <v>26</v>
      </c>
      <c r="M188" t="s">
        <v>36</v>
      </c>
      <c r="N188" t="s">
        <v>320</v>
      </c>
      <c r="O188" t="s">
        <v>46</v>
      </c>
      <c r="P188" t="s">
        <v>212</v>
      </c>
      <c r="Q188" t="s">
        <v>31</v>
      </c>
      <c r="R188" s="3" t="str">
        <f>HYPERLINK("..\..\Imagery\ScannedGeochron\UPb\Kamo1996Fig6.jpg")</f>
        <v>..\..\Imagery\ScannedGeochron\UPb\Kamo1996Fig6.jpg</v>
      </c>
      <c r="S188" t="s">
        <v>776</v>
      </c>
    </row>
    <row r="189" spans="1:19" x14ac:dyDescent="0.25">
      <c r="A189" t="s">
        <v>42</v>
      </c>
      <c r="B189" t="s">
        <v>61</v>
      </c>
      <c r="C189" t="s">
        <v>21</v>
      </c>
      <c r="D189">
        <v>580273</v>
      </c>
      <c r="E189">
        <v>5900047</v>
      </c>
      <c r="F189">
        <v>21</v>
      </c>
      <c r="G189" t="s">
        <v>22</v>
      </c>
      <c r="H189" t="s">
        <v>23</v>
      </c>
      <c r="I189" t="s">
        <v>62</v>
      </c>
      <c r="J189" t="s">
        <v>777</v>
      </c>
      <c r="K189">
        <v>396</v>
      </c>
      <c r="L189" t="s">
        <v>26</v>
      </c>
      <c r="M189" t="s">
        <v>36</v>
      </c>
      <c r="N189" t="s">
        <v>320</v>
      </c>
      <c r="O189" t="s">
        <v>64</v>
      </c>
      <c r="P189" t="s">
        <v>212</v>
      </c>
      <c r="Q189" t="s">
        <v>40</v>
      </c>
      <c r="R189" s="3" t="str">
        <f>HYPERLINK("..\..\Imagery\ScannedGeochron\UPb\Scha1988Fig3c.jpg")</f>
        <v>..\..\Imagery\ScannedGeochron\UPb\Scha1988Fig3c.jpg</v>
      </c>
      <c r="S189" t="s">
        <v>344</v>
      </c>
    </row>
    <row r="190" spans="1:19" x14ac:dyDescent="0.25">
      <c r="A190" t="s">
        <v>764</v>
      </c>
      <c r="B190" t="s">
        <v>764</v>
      </c>
      <c r="C190" t="s">
        <v>21</v>
      </c>
      <c r="D190">
        <v>468425</v>
      </c>
      <c r="E190">
        <v>5939681</v>
      </c>
      <c r="F190">
        <v>21</v>
      </c>
      <c r="G190" t="s">
        <v>22</v>
      </c>
      <c r="I190" t="s">
        <v>699</v>
      </c>
      <c r="J190" t="s">
        <v>778</v>
      </c>
      <c r="K190">
        <v>615</v>
      </c>
      <c r="L190" t="s">
        <v>26</v>
      </c>
      <c r="M190" t="s">
        <v>27</v>
      </c>
      <c r="N190" t="s">
        <v>104</v>
      </c>
      <c r="O190" t="s">
        <v>766</v>
      </c>
      <c r="P190" t="s">
        <v>30</v>
      </c>
      <c r="Q190" t="s">
        <v>767</v>
      </c>
      <c r="R190" s="3" t="str">
        <f>HYPERLINK("..\..\Imagery\ScannedGeochron\UPb\Kamo1989Fig3.jpg")</f>
        <v>..\..\Imagery\ScannedGeochron\UPb\Kamo1989Fig3.jpg</v>
      </c>
      <c r="S190" t="s">
        <v>779</v>
      </c>
    </row>
    <row r="191" spans="1:19" x14ac:dyDescent="0.25">
      <c r="A191" t="s">
        <v>739</v>
      </c>
      <c r="B191" t="s">
        <v>780</v>
      </c>
      <c r="C191" t="s">
        <v>21</v>
      </c>
      <c r="D191">
        <v>516483</v>
      </c>
      <c r="E191">
        <v>5895068</v>
      </c>
      <c r="F191">
        <v>21</v>
      </c>
      <c r="G191" t="s">
        <v>22</v>
      </c>
      <c r="H191" t="s">
        <v>23</v>
      </c>
      <c r="I191" t="s">
        <v>781</v>
      </c>
      <c r="J191" t="s">
        <v>782</v>
      </c>
      <c r="K191">
        <v>877</v>
      </c>
      <c r="L191" t="s">
        <v>26</v>
      </c>
      <c r="M191" t="s">
        <v>36</v>
      </c>
      <c r="N191" t="s">
        <v>320</v>
      </c>
      <c r="O191" t="s">
        <v>783</v>
      </c>
      <c r="P191" t="s">
        <v>212</v>
      </c>
      <c r="Q191" t="s">
        <v>31</v>
      </c>
      <c r="R191" s="3" t="str">
        <f>HYPERLINK("..\..\Imagery\ScannedGeochron\UPb\Kamo1996Fig8.jpg")</f>
        <v>..\..\Imagery\ScannedGeochron\UPb\Kamo1996Fig8.jpg</v>
      </c>
      <c r="S191" t="s">
        <v>344</v>
      </c>
    </row>
    <row r="192" spans="1:19" x14ac:dyDescent="0.25">
      <c r="A192" t="s">
        <v>54</v>
      </c>
      <c r="B192" t="s">
        <v>55</v>
      </c>
      <c r="C192" t="s">
        <v>21</v>
      </c>
      <c r="D192">
        <v>579503</v>
      </c>
      <c r="E192">
        <v>5894184</v>
      </c>
      <c r="F192">
        <v>21</v>
      </c>
      <c r="G192" t="s">
        <v>22</v>
      </c>
      <c r="H192" t="s">
        <v>23</v>
      </c>
      <c r="I192" t="s">
        <v>56</v>
      </c>
      <c r="J192" t="s">
        <v>784</v>
      </c>
      <c r="K192">
        <v>890</v>
      </c>
      <c r="L192" t="s">
        <v>26</v>
      </c>
      <c r="M192" t="s">
        <v>36</v>
      </c>
      <c r="N192" t="s">
        <v>320</v>
      </c>
      <c r="O192" t="s">
        <v>59</v>
      </c>
      <c r="P192" t="s">
        <v>212</v>
      </c>
      <c r="Q192" t="s">
        <v>40</v>
      </c>
      <c r="R192" s="3" t="str">
        <f>HYPERLINK("..\..\Imagery\ScannedGeochron\UPb\Scha1988Fig3a.jpg")</f>
        <v>..\..\Imagery\ScannedGeochron\UPb\Scha1988Fig3a.jpg</v>
      </c>
      <c r="S192" t="s">
        <v>785</v>
      </c>
    </row>
    <row r="193" spans="1:19" x14ac:dyDescent="0.25">
      <c r="A193" t="s">
        <v>739</v>
      </c>
      <c r="B193" t="s">
        <v>780</v>
      </c>
      <c r="C193" t="s">
        <v>21</v>
      </c>
      <c r="D193">
        <v>516483</v>
      </c>
      <c r="E193">
        <v>5895068</v>
      </c>
      <c r="F193">
        <v>21</v>
      </c>
      <c r="G193" t="s">
        <v>22</v>
      </c>
      <c r="H193" t="s">
        <v>23</v>
      </c>
      <c r="I193" t="s">
        <v>781</v>
      </c>
      <c r="J193" t="s">
        <v>786</v>
      </c>
      <c r="K193">
        <v>1638</v>
      </c>
      <c r="L193" t="s">
        <v>26</v>
      </c>
      <c r="M193" t="s">
        <v>577</v>
      </c>
      <c r="N193" t="s">
        <v>104</v>
      </c>
      <c r="O193" t="s">
        <v>783</v>
      </c>
      <c r="P193" t="s">
        <v>39</v>
      </c>
      <c r="Q193" t="s">
        <v>31</v>
      </c>
      <c r="R193" s="3" t="str">
        <f>HYPERLINK("..\..\Imagery\ScannedGeochron\UPb\Kamo1996Fig8.jpg")</f>
        <v>..\..\Imagery\ScannedGeochron\UPb\Kamo1996Fig8.jpg</v>
      </c>
      <c r="S193" t="s">
        <v>787</v>
      </c>
    </row>
    <row r="194" spans="1:19" x14ac:dyDescent="0.25">
      <c r="A194" t="s">
        <v>298</v>
      </c>
      <c r="B194" t="s">
        <v>298</v>
      </c>
      <c r="C194" t="s">
        <v>21</v>
      </c>
      <c r="D194">
        <v>513821</v>
      </c>
      <c r="E194">
        <v>5882508</v>
      </c>
      <c r="F194">
        <v>21</v>
      </c>
      <c r="G194" t="s">
        <v>22</v>
      </c>
      <c r="I194" t="s">
        <v>299</v>
      </c>
      <c r="J194" t="s">
        <v>788</v>
      </c>
      <c r="K194">
        <v>1639</v>
      </c>
      <c r="L194" t="s">
        <v>26</v>
      </c>
      <c r="M194" t="s">
        <v>36</v>
      </c>
      <c r="N194" t="s">
        <v>58</v>
      </c>
      <c r="O194" t="s">
        <v>789</v>
      </c>
      <c r="P194" t="s">
        <v>30</v>
      </c>
      <c r="Q194" t="s">
        <v>31</v>
      </c>
      <c r="R194" s="3" t="str">
        <f>HYPERLINK("..\..\Imagery\ScannedGeochron\UPb\Kamo1996Fig11.jpg")</f>
        <v>..\..\Imagery\ScannedGeochron\UPb\Kamo1996Fig11.jpg</v>
      </c>
      <c r="S194" t="s">
        <v>451</v>
      </c>
    </row>
    <row r="195" spans="1:19" x14ac:dyDescent="0.25">
      <c r="A195" t="s">
        <v>593</v>
      </c>
      <c r="B195" t="s">
        <v>594</v>
      </c>
      <c r="C195" t="s">
        <v>21</v>
      </c>
      <c r="D195">
        <v>344843</v>
      </c>
      <c r="E195">
        <v>5852094</v>
      </c>
      <c r="F195">
        <v>21</v>
      </c>
      <c r="G195" t="s">
        <v>22</v>
      </c>
      <c r="I195" t="s">
        <v>595</v>
      </c>
      <c r="J195" t="s">
        <v>790</v>
      </c>
      <c r="K195">
        <v>1632</v>
      </c>
      <c r="L195" t="s">
        <v>172</v>
      </c>
      <c r="M195" t="s">
        <v>27</v>
      </c>
      <c r="N195" t="s">
        <v>104</v>
      </c>
      <c r="O195" t="s">
        <v>634</v>
      </c>
      <c r="P195" t="s">
        <v>30</v>
      </c>
      <c r="Q195" t="s">
        <v>181</v>
      </c>
      <c r="R195" s="3" t="str">
        <f>HYPERLINK("..\..\Imagery\ScannedGeochron\UPb\Gowe2008Fig5b.jpg")</f>
        <v>..\..\Imagery\ScannedGeochron\UPb\Gowe2008Fig5b.jpg</v>
      </c>
    </row>
    <row r="196" spans="1:19" x14ac:dyDescent="0.25">
      <c r="A196" t="s">
        <v>598</v>
      </c>
      <c r="B196" t="s">
        <v>598</v>
      </c>
      <c r="C196" t="s">
        <v>21</v>
      </c>
      <c r="D196">
        <v>374480</v>
      </c>
      <c r="E196">
        <v>5971801</v>
      </c>
      <c r="F196">
        <v>21</v>
      </c>
      <c r="G196" t="s">
        <v>22</v>
      </c>
      <c r="I196" t="s">
        <v>599</v>
      </c>
      <c r="J196" t="s">
        <v>791</v>
      </c>
      <c r="K196">
        <v>1635</v>
      </c>
      <c r="L196" t="s">
        <v>172</v>
      </c>
      <c r="M196" t="s">
        <v>36</v>
      </c>
      <c r="N196" t="s">
        <v>142</v>
      </c>
      <c r="O196" t="s">
        <v>601</v>
      </c>
      <c r="P196" t="s">
        <v>30</v>
      </c>
      <c r="Q196" t="s">
        <v>602</v>
      </c>
      <c r="R196" s="3" t="str">
        <f>HYPERLINK("..\..\Imagery\ScannedGeochron\UPb\Emsl1990Fig7b.jpg")</f>
        <v>..\..\Imagery\ScannedGeochron\UPb\Emsl1990Fig7b.jpg</v>
      </c>
      <c r="S196" t="s">
        <v>792</v>
      </c>
    </row>
    <row r="197" spans="1:19" x14ac:dyDescent="0.25">
      <c r="A197" t="s">
        <v>793</v>
      </c>
      <c r="B197" t="s">
        <v>793</v>
      </c>
      <c r="C197" t="s">
        <v>21</v>
      </c>
      <c r="D197">
        <v>394244</v>
      </c>
      <c r="E197">
        <v>5864358</v>
      </c>
      <c r="F197">
        <v>21</v>
      </c>
      <c r="G197" t="s">
        <v>22</v>
      </c>
      <c r="I197" t="s">
        <v>794</v>
      </c>
      <c r="J197" t="s">
        <v>795</v>
      </c>
      <c r="K197">
        <v>1612</v>
      </c>
      <c r="L197" t="s">
        <v>172</v>
      </c>
      <c r="M197" t="s">
        <v>103</v>
      </c>
      <c r="N197" t="s">
        <v>28</v>
      </c>
      <c r="O197" t="s">
        <v>166</v>
      </c>
      <c r="P197" t="s">
        <v>39</v>
      </c>
      <c r="Q197" t="s">
        <v>181</v>
      </c>
      <c r="R197" s="3" t="str">
        <f>HYPERLINK("..\..\Imagery\ScannedGeochron\UPb\Gowe2008Fig4d.jpg")</f>
        <v>..\..\Imagery\ScannedGeochron\UPb\Gowe2008Fig4d.jpg</v>
      </c>
      <c r="S197" t="s">
        <v>796</v>
      </c>
    </row>
    <row r="198" spans="1:19" x14ac:dyDescent="0.25">
      <c r="A198" t="s">
        <v>183</v>
      </c>
      <c r="B198" t="s">
        <v>615</v>
      </c>
      <c r="C198" t="s">
        <v>21</v>
      </c>
      <c r="D198">
        <v>405328</v>
      </c>
      <c r="E198">
        <v>5911514</v>
      </c>
      <c r="F198">
        <v>21</v>
      </c>
      <c r="G198" t="s">
        <v>22</v>
      </c>
      <c r="H198" t="s">
        <v>23</v>
      </c>
      <c r="I198" t="s">
        <v>616</v>
      </c>
      <c r="J198" t="s">
        <v>797</v>
      </c>
      <c r="K198">
        <v>1640</v>
      </c>
      <c r="L198" t="s">
        <v>172</v>
      </c>
      <c r="M198" t="s">
        <v>36</v>
      </c>
      <c r="N198" t="s">
        <v>104</v>
      </c>
      <c r="O198" t="s">
        <v>798</v>
      </c>
      <c r="P198" t="s">
        <v>39</v>
      </c>
      <c r="Q198" t="s">
        <v>181</v>
      </c>
      <c r="R198" s="3" t="str">
        <f>HYPERLINK("..\..\Imagery\ScannedGeochron\UPb\Gowe2008Fig3b.jpg")</f>
        <v>..\..\Imagery\ScannedGeochron\UPb\Gowe2008Fig3b.jpg</v>
      </c>
    </row>
    <row r="199" spans="1:19" x14ac:dyDescent="0.25">
      <c r="A199" t="s">
        <v>799</v>
      </c>
      <c r="B199" t="s">
        <v>799</v>
      </c>
      <c r="C199" t="s">
        <v>21</v>
      </c>
      <c r="D199">
        <v>369905</v>
      </c>
      <c r="E199">
        <v>5851921</v>
      </c>
      <c r="F199">
        <v>21</v>
      </c>
      <c r="G199" t="s">
        <v>22</v>
      </c>
      <c r="I199" t="s">
        <v>800</v>
      </c>
      <c r="J199" t="s">
        <v>801</v>
      </c>
      <c r="K199">
        <v>1635</v>
      </c>
      <c r="L199" t="s">
        <v>172</v>
      </c>
      <c r="M199" t="s">
        <v>36</v>
      </c>
      <c r="N199" t="s">
        <v>58</v>
      </c>
      <c r="O199" t="s">
        <v>634</v>
      </c>
      <c r="P199" t="s">
        <v>30</v>
      </c>
      <c r="Q199" t="s">
        <v>181</v>
      </c>
      <c r="R199" s="3" t="str">
        <f>HYPERLINK("..\..\Imagery\ScannedGeochron\UPb\Gowe2008Fig5a.jpg")</f>
        <v>..\..\Imagery\ScannedGeochron\UPb\Gowe2008Fig5a.jpg</v>
      </c>
      <c r="S199" t="s">
        <v>802</v>
      </c>
    </row>
    <row r="200" spans="1:19" x14ac:dyDescent="0.25">
      <c r="A200" t="s">
        <v>803</v>
      </c>
      <c r="B200" t="s">
        <v>803</v>
      </c>
      <c r="C200" t="s">
        <v>21</v>
      </c>
      <c r="D200">
        <v>369776</v>
      </c>
      <c r="E200">
        <v>5904013</v>
      </c>
      <c r="F200">
        <v>21</v>
      </c>
      <c r="G200" t="s">
        <v>22</v>
      </c>
      <c r="I200" t="s">
        <v>804</v>
      </c>
      <c r="J200" t="s">
        <v>762</v>
      </c>
      <c r="K200">
        <v>1642</v>
      </c>
      <c r="L200" t="s">
        <v>172</v>
      </c>
      <c r="M200" t="s">
        <v>36</v>
      </c>
      <c r="N200" t="s">
        <v>104</v>
      </c>
      <c r="O200" t="s">
        <v>805</v>
      </c>
      <c r="P200" t="s">
        <v>30</v>
      </c>
      <c r="Q200" t="s">
        <v>181</v>
      </c>
      <c r="R200" s="3" t="str">
        <f>HYPERLINK("..\..\Imagery\ScannedGeochron\UPb\Gowe2008Fig3d.jpg")</f>
        <v>..\..\Imagery\ScannedGeochron\UPb\Gowe2008Fig3d.jpg</v>
      </c>
      <c r="S200" t="s">
        <v>806</v>
      </c>
    </row>
    <row r="201" spans="1:19" x14ac:dyDescent="0.25">
      <c r="A201" t="s">
        <v>807</v>
      </c>
      <c r="B201" t="s">
        <v>807</v>
      </c>
      <c r="C201" t="s">
        <v>21</v>
      </c>
      <c r="D201">
        <v>387923</v>
      </c>
      <c r="E201">
        <v>5921565</v>
      </c>
      <c r="F201">
        <v>21</v>
      </c>
      <c r="G201" t="s">
        <v>22</v>
      </c>
      <c r="I201" t="s">
        <v>808</v>
      </c>
      <c r="J201" t="s">
        <v>809</v>
      </c>
      <c r="K201">
        <v>1646</v>
      </c>
      <c r="L201" t="s">
        <v>172</v>
      </c>
      <c r="M201" t="s">
        <v>36</v>
      </c>
      <c r="N201" t="s">
        <v>104</v>
      </c>
      <c r="O201" t="s">
        <v>810</v>
      </c>
      <c r="P201" t="s">
        <v>30</v>
      </c>
      <c r="Q201" t="s">
        <v>602</v>
      </c>
      <c r="R201" s="3" t="str">
        <f>HYPERLINK("..\..\Imagery\ScannedGeochron\UPb\Emsl1990Fig7a.jpg")</f>
        <v>..\..\Imagery\ScannedGeochron\UPb\Emsl1990Fig7a.jpg</v>
      </c>
      <c r="S201" t="s">
        <v>811</v>
      </c>
    </row>
    <row r="202" spans="1:19" x14ac:dyDescent="0.25">
      <c r="A202" t="s">
        <v>793</v>
      </c>
      <c r="B202" t="s">
        <v>793</v>
      </c>
      <c r="C202" t="s">
        <v>21</v>
      </c>
      <c r="D202">
        <v>394244</v>
      </c>
      <c r="E202">
        <v>5864358</v>
      </c>
      <c r="F202">
        <v>21</v>
      </c>
      <c r="G202" t="s">
        <v>22</v>
      </c>
      <c r="I202" t="s">
        <v>794</v>
      </c>
      <c r="J202" t="s">
        <v>812</v>
      </c>
      <c r="K202">
        <v>1662</v>
      </c>
      <c r="L202" t="s">
        <v>172</v>
      </c>
      <c r="M202" t="s">
        <v>36</v>
      </c>
      <c r="N202" t="s">
        <v>104</v>
      </c>
      <c r="O202" t="s">
        <v>160</v>
      </c>
      <c r="P202" t="s">
        <v>39</v>
      </c>
      <c r="Q202" t="s">
        <v>181</v>
      </c>
      <c r="R202" s="3" t="str">
        <f>HYPERLINK("..\..\Imagery\ScannedGeochron\UPb\Gowe2008Fig4d.jpg")</f>
        <v>..\..\Imagery\ScannedGeochron\UPb\Gowe2008Fig4d.jpg</v>
      </c>
      <c r="S202" t="s">
        <v>813</v>
      </c>
    </row>
    <row r="203" spans="1:19" x14ac:dyDescent="0.25">
      <c r="A203" t="s">
        <v>407</v>
      </c>
      <c r="B203" t="s">
        <v>407</v>
      </c>
      <c r="C203" t="s">
        <v>21</v>
      </c>
      <c r="D203">
        <v>411624</v>
      </c>
      <c r="E203">
        <v>5904951</v>
      </c>
      <c r="F203">
        <v>21</v>
      </c>
      <c r="G203" t="s">
        <v>22</v>
      </c>
      <c r="I203" t="s">
        <v>408</v>
      </c>
      <c r="J203" t="s">
        <v>814</v>
      </c>
      <c r="K203">
        <v>1655</v>
      </c>
      <c r="L203" t="s">
        <v>172</v>
      </c>
      <c r="M203" t="s">
        <v>263</v>
      </c>
      <c r="N203" t="s">
        <v>58</v>
      </c>
      <c r="O203" t="s">
        <v>166</v>
      </c>
      <c r="P203" t="s">
        <v>39</v>
      </c>
      <c r="Q203" t="s">
        <v>181</v>
      </c>
      <c r="R203" s="3" t="str">
        <f>HYPERLINK("..\..\Imagery\ScannedGeochron\UPb\Gowe2008Fig3c.jpg")</f>
        <v>..\..\Imagery\ScannedGeochron\UPb\Gowe2008Fig3c.jpg</v>
      </c>
    </row>
    <row r="204" spans="1:19" x14ac:dyDescent="0.25">
      <c r="A204" t="s">
        <v>240</v>
      </c>
      <c r="B204" t="s">
        <v>241</v>
      </c>
      <c r="C204" t="s">
        <v>21</v>
      </c>
      <c r="D204">
        <v>416650</v>
      </c>
      <c r="E204">
        <v>5875024</v>
      </c>
      <c r="F204">
        <v>21</v>
      </c>
      <c r="G204" t="s">
        <v>22</v>
      </c>
      <c r="H204" t="s">
        <v>23</v>
      </c>
      <c r="I204" t="s">
        <v>242</v>
      </c>
      <c r="J204" t="s">
        <v>815</v>
      </c>
      <c r="K204">
        <v>1469</v>
      </c>
      <c r="L204" t="s">
        <v>172</v>
      </c>
      <c r="M204" t="s">
        <v>263</v>
      </c>
      <c r="N204" t="s">
        <v>104</v>
      </c>
      <c r="O204" t="s">
        <v>105</v>
      </c>
      <c r="P204" t="s">
        <v>39</v>
      </c>
      <c r="Q204" t="s">
        <v>181</v>
      </c>
      <c r="R204" s="3" t="str">
        <f>HYPERLINK("..\..\Imagery\ScannedGeochron\UPb\Gowe2008Fig3a.jpg")</f>
        <v>..\..\Imagery\ScannedGeochron\UPb\Gowe2008Fig3a.jpg</v>
      </c>
    </row>
    <row r="205" spans="1:19" x14ac:dyDescent="0.25">
      <c r="A205" t="s">
        <v>323</v>
      </c>
      <c r="B205" t="s">
        <v>323</v>
      </c>
      <c r="C205" t="s">
        <v>21</v>
      </c>
      <c r="D205">
        <v>311983</v>
      </c>
      <c r="E205">
        <v>5846050</v>
      </c>
      <c r="F205">
        <v>21</v>
      </c>
      <c r="G205" t="s">
        <v>22</v>
      </c>
      <c r="I205" t="s">
        <v>324</v>
      </c>
      <c r="J205" t="s">
        <v>816</v>
      </c>
      <c r="K205">
        <v>1658</v>
      </c>
      <c r="L205" t="s">
        <v>172</v>
      </c>
      <c r="M205" t="s">
        <v>36</v>
      </c>
      <c r="N205" t="s">
        <v>58</v>
      </c>
      <c r="O205" t="s">
        <v>634</v>
      </c>
      <c r="P205" t="s">
        <v>30</v>
      </c>
      <c r="Q205" t="s">
        <v>181</v>
      </c>
      <c r="R205" s="3" t="str">
        <f>HYPERLINK("..\..\Imagery\ScannedGeochron\UPb\Gowe2008Fig4f.jpg")</f>
        <v>..\..\Imagery\ScannedGeochron\UPb\Gowe2008Fig4f.jpg</v>
      </c>
    </row>
    <row r="206" spans="1:19" x14ac:dyDescent="0.25">
      <c r="A206" t="s">
        <v>310</v>
      </c>
      <c r="B206" t="s">
        <v>311</v>
      </c>
      <c r="C206" t="s">
        <v>21</v>
      </c>
      <c r="D206">
        <v>344444</v>
      </c>
      <c r="E206">
        <v>5836488</v>
      </c>
      <c r="F206">
        <v>21</v>
      </c>
      <c r="G206" t="s">
        <v>22</v>
      </c>
      <c r="H206" t="s">
        <v>23</v>
      </c>
      <c r="I206" t="s">
        <v>312</v>
      </c>
      <c r="J206" t="s">
        <v>817</v>
      </c>
      <c r="K206">
        <v>1687</v>
      </c>
      <c r="L206" t="s">
        <v>172</v>
      </c>
      <c r="M206" t="s">
        <v>36</v>
      </c>
      <c r="N206" t="s">
        <v>28</v>
      </c>
      <c r="O206" t="s">
        <v>411</v>
      </c>
      <c r="P206" t="s">
        <v>97</v>
      </c>
      <c r="Q206" t="s">
        <v>181</v>
      </c>
      <c r="R206" s="3" t="str">
        <f>HYPERLINK("..\..\Imagery\ScannedGeochron\UPb\Gowe2008Fig4a.jpg")</f>
        <v>..\..\Imagery\ScannedGeochron\UPb\Gowe2008Fig4a.jpg</v>
      </c>
      <c r="S206" t="s">
        <v>818</v>
      </c>
    </row>
    <row r="207" spans="1:19" x14ac:dyDescent="0.25">
      <c r="A207" t="s">
        <v>303</v>
      </c>
      <c r="B207" t="s">
        <v>303</v>
      </c>
      <c r="C207" t="s">
        <v>21</v>
      </c>
      <c r="D207">
        <v>422025</v>
      </c>
      <c r="E207">
        <v>5858075</v>
      </c>
      <c r="F207">
        <v>21</v>
      </c>
      <c r="G207" t="s">
        <v>22</v>
      </c>
      <c r="I207" t="s">
        <v>304</v>
      </c>
      <c r="J207" t="s">
        <v>819</v>
      </c>
      <c r="K207">
        <v>1739</v>
      </c>
      <c r="L207" t="s">
        <v>172</v>
      </c>
      <c r="M207" t="s">
        <v>36</v>
      </c>
      <c r="N207" t="s">
        <v>28</v>
      </c>
      <c r="O207" t="s">
        <v>820</v>
      </c>
      <c r="P207" t="s">
        <v>97</v>
      </c>
      <c r="Q207" t="s">
        <v>181</v>
      </c>
      <c r="R207" s="3" t="str">
        <f>HYPERLINK("..\..\Imagery\ScannedGeochron\UPb\Gowe2008Fig4e.jpg")</f>
        <v>..\..\Imagery\ScannedGeochron\UPb\Gowe2008Fig4e.jpg</v>
      </c>
      <c r="S207" t="s">
        <v>307</v>
      </c>
    </row>
    <row r="208" spans="1:19" x14ac:dyDescent="0.25">
      <c r="A208" t="s">
        <v>367</v>
      </c>
      <c r="B208" t="s">
        <v>368</v>
      </c>
      <c r="C208" t="s">
        <v>21</v>
      </c>
      <c r="D208">
        <v>412948</v>
      </c>
      <c r="E208">
        <v>5971531</v>
      </c>
      <c r="F208">
        <v>21</v>
      </c>
      <c r="G208" t="s">
        <v>22</v>
      </c>
      <c r="H208" t="s">
        <v>23</v>
      </c>
      <c r="I208" t="s">
        <v>369</v>
      </c>
      <c r="J208" t="s">
        <v>821</v>
      </c>
      <c r="K208">
        <v>218</v>
      </c>
      <c r="L208" t="s">
        <v>69</v>
      </c>
      <c r="M208" t="s">
        <v>36</v>
      </c>
      <c r="N208" t="s">
        <v>252</v>
      </c>
      <c r="O208" t="s">
        <v>371</v>
      </c>
      <c r="P208" t="s">
        <v>212</v>
      </c>
      <c r="Q208" t="s">
        <v>79</v>
      </c>
      <c r="R208" s="3" t="str">
        <f>HYPERLINK("..\..\Imagery\ScannedGeochron\UPb\Scha1986Fig8a.jpg")</f>
        <v>..\..\Imagery\ScannedGeochron\UPb\Scha1986Fig8a.jpg</v>
      </c>
      <c r="S208" t="s">
        <v>344</v>
      </c>
    </row>
    <row r="209" spans="1:19" x14ac:dyDescent="0.25">
      <c r="A209" t="s">
        <v>335</v>
      </c>
      <c r="B209" t="s">
        <v>822</v>
      </c>
      <c r="C209" t="s">
        <v>21</v>
      </c>
      <c r="D209">
        <v>372580</v>
      </c>
      <c r="E209">
        <v>5783976</v>
      </c>
      <c r="F209">
        <v>21</v>
      </c>
      <c r="G209" t="s">
        <v>22</v>
      </c>
      <c r="H209" t="s">
        <v>23</v>
      </c>
      <c r="I209" t="s">
        <v>823</v>
      </c>
      <c r="J209" t="s">
        <v>824</v>
      </c>
      <c r="K209">
        <v>1779</v>
      </c>
      <c r="L209" t="s">
        <v>198</v>
      </c>
      <c r="M209" t="s">
        <v>36</v>
      </c>
      <c r="N209" t="s">
        <v>28</v>
      </c>
      <c r="O209" t="s">
        <v>825</v>
      </c>
      <c r="P209" t="s">
        <v>97</v>
      </c>
      <c r="Q209" t="s">
        <v>181</v>
      </c>
      <c r="R209" s="3" t="str">
        <f>HYPERLINK("..\..\Imagery\ScannedGeochron\UPb\Gowe2008Fig5e.jpg")</f>
        <v>..\..\Imagery\ScannedGeochron\UPb\Gowe2008Fig5e.jpg</v>
      </c>
      <c r="S209" t="s">
        <v>826</v>
      </c>
    </row>
    <row r="210" spans="1:19" x14ac:dyDescent="0.25">
      <c r="A210" t="s">
        <v>335</v>
      </c>
      <c r="B210" t="s">
        <v>827</v>
      </c>
      <c r="C210" t="s">
        <v>21</v>
      </c>
      <c r="D210">
        <v>372580</v>
      </c>
      <c r="E210">
        <v>5783976</v>
      </c>
      <c r="F210">
        <v>21</v>
      </c>
      <c r="G210" t="s">
        <v>22</v>
      </c>
      <c r="H210" t="s">
        <v>23</v>
      </c>
      <c r="I210" t="s">
        <v>828</v>
      </c>
      <c r="J210" t="s">
        <v>829</v>
      </c>
      <c r="K210">
        <v>1012</v>
      </c>
      <c r="L210" t="s">
        <v>198</v>
      </c>
      <c r="M210" t="s">
        <v>36</v>
      </c>
      <c r="N210" t="s">
        <v>104</v>
      </c>
      <c r="O210" t="s">
        <v>321</v>
      </c>
      <c r="P210" t="s">
        <v>39</v>
      </c>
      <c r="Q210" t="s">
        <v>181</v>
      </c>
      <c r="R210" s="3" t="str">
        <f>HYPERLINK("..\..\Imagery\ScannedGeochron\UPb\Gowe2008Fig5f.jpg")</f>
        <v>..\..\Imagery\ScannedGeochron\UPb\Gowe2008Fig5f.jpg</v>
      </c>
      <c r="S210" t="s">
        <v>830</v>
      </c>
    </row>
    <row r="211" spans="1:19" x14ac:dyDescent="0.25">
      <c r="A211" t="s">
        <v>831</v>
      </c>
      <c r="B211" t="s">
        <v>832</v>
      </c>
      <c r="C211" t="s">
        <v>21</v>
      </c>
      <c r="D211">
        <v>377348</v>
      </c>
      <c r="E211">
        <v>5762342</v>
      </c>
      <c r="F211">
        <v>21</v>
      </c>
      <c r="G211" t="s">
        <v>22</v>
      </c>
      <c r="H211" t="s">
        <v>23</v>
      </c>
      <c r="I211" t="s">
        <v>833</v>
      </c>
      <c r="J211" t="s">
        <v>834</v>
      </c>
      <c r="K211">
        <v>1509</v>
      </c>
      <c r="L211" t="s">
        <v>198</v>
      </c>
      <c r="M211" t="s">
        <v>36</v>
      </c>
      <c r="N211" t="s">
        <v>28</v>
      </c>
      <c r="O211" t="s">
        <v>160</v>
      </c>
      <c r="P211" t="s">
        <v>30</v>
      </c>
      <c r="Q211" t="s">
        <v>181</v>
      </c>
      <c r="R211" s="3" t="str">
        <f>HYPERLINK("..\..\Imagery\ScannedGeochron\UPb\Gowe2008Fig6a.jpg")</f>
        <v>..\..\Imagery\ScannedGeochron\UPb\Gowe2008Fig6a.jpg</v>
      </c>
      <c r="S211" t="s">
        <v>835</v>
      </c>
    </row>
    <row r="212" spans="1:19" x14ac:dyDescent="0.25">
      <c r="A212" t="s">
        <v>836</v>
      </c>
      <c r="B212" t="s">
        <v>837</v>
      </c>
      <c r="C212" t="s">
        <v>21</v>
      </c>
      <c r="D212">
        <v>343243</v>
      </c>
      <c r="E212">
        <v>5812334</v>
      </c>
      <c r="F212">
        <v>21</v>
      </c>
      <c r="G212" t="s">
        <v>22</v>
      </c>
      <c r="H212" t="s">
        <v>23</v>
      </c>
      <c r="I212" t="s">
        <v>838</v>
      </c>
      <c r="J212" t="s">
        <v>839</v>
      </c>
      <c r="K212">
        <v>1507</v>
      </c>
      <c r="L212" t="s">
        <v>198</v>
      </c>
      <c r="M212" t="s">
        <v>36</v>
      </c>
      <c r="N212" t="s">
        <v>28</v>
      </c>
      <c r="O212" t="s">
        <v>840</v>
      </c>
      <c r="P212" t="s">
        <v>30</v>
      </c>
      <c r="Q212" t="s">
        <v>181</v>
      </c>
      <c r="R212" s="3" t="str">
        <f>HYPERLINK("..\..\Imagery\ScannedGeochron\UPb\Gowe2008Fig6b.jpg")</f>
        <v>..\..\Imagery\ScannedGeochron\UPb\Gowe2008Fig6b.jpg</v>
      </c>
      <c r="S212" t="s">
        <v>841</v>
      </c>
    </row>
    <row r="213" spans="1:19" x14ac:dyDescent="0.25">
      <c r="A213" t="s">
        <v>836</v>
      </c>
      <c r="B213" t="s">
        <v>842</v>
      </c>
      <c r="C213" t="s">
        <v>21</v>
      </c>
      <c r="D213">
        <v>343243</v>
      </c>
      <c r="E213">
        <v>5812334</v>
      </c>
      <c r="F213">
        <v>21</v>
      </c>
      <c r="G213" t="s">
        <v>22</v>
      </c>
      <c r="H213" t="s">
        <v>23</v>
      </c>
      <c r="I213" t="s">
        <v>843</v>
      </c>
      <c r="J213" t="s">
        <v>844</v>
      </c>
      <c r="K213">
        <v>1879</v>
      </c>
      <c r="L213" t="s">
        <v>198</v>
      </c>
      <c r="M213" t="s">
        <v>36</v>
      </c>
      <c r="N213" t="s">
        <v>28</v>
      </c>
      <c r="O213" t="s">
        <v>321</v>
      </c>
      <c r="P213" t="s">
        <v>97</v>
      </c>
      <c r="Q213" t="s">
        <v>181</v>
      </c>
      <c r="R213" s="3" t="str">
        <f>HYPERLINK("..\..\Imagery\ScannedGeochron\UPb\Gowe2008Fig6c.jpg")</f>
        <v>..\..\Imagery\ScannedGeochron\UPb\Gowe2008Fig6c.jpg</v>
      </c>
      <c r="S213" t="s">
        <v>845</v>
      </c>
    </row>
    <row r="214" spans="1:19" x14ac:dyDescent="0.25">
      <c r="A214" t="s">
        <v>846</v>
      </c>
      <c r="B214" t="s">
        <v>846</v>
      </c>
      <c r="C214" t="s">
        <v>21</v>
      </c>
      <c r="D214">
        <v>373843</v>
      </c>
      <c r="E214">
        <v>5784611</v>
      </c>
      <c r="F214">
        <v>21</v>
      </c>
      <c r="G214" t="s">
        <v>22</v>
      </c>
      <c r="I214" t="s">
        <v>847</v>
      </c>
      <c r="J214" t="s">
        <v>848</v>
      </c>
      <c r="K214">
        <v>1549</v>
      </c>
      <c r="L214" t="s">
        <v>198</v>
      </c>
      <c r="M214" t="s">
        <v>36</v>
      </c>
      <c r="N214" t="s">
        <v>28</v>
      </c>
      <c r="O214" t="s">
        <v>309</v>
      </c>
      <c r="P214" t="s">
        <v>97</v>
      </c>
      <c r="Q214" t="s">
        <v>181</v>
      </c>
      <c r="R214" s="3" t="str">
        <f>HYPERLINK("..\..\Imagery\ScannedGeochron\UPb\Gowe2008Fig6f.jpg")</f>
        <v>..\..\Imagery\ScannedGeochron\UPb\Gowe2008Fig6f.jpg</v>
      </c>
      <c r="S214" t="s">
        <v>849</v>
      </c>
    </row>
    <row r="215" spans="1:19" x14ac:dyDescent="0.25">
      <c r="A215" t="s">
        <v>850</v>
      </c>
      <c r="B215" t="s">
        <v>850</v>
      </c>
      <c r="C215" t="s">
        <v>21</v>
      </c>
      <c r="D215">
        <v>338753</v>
      </c>
      <c r="E215">
        <v>5779217</v>
      </c>
      <c r="F215">
        <v>21</v>
      </c>
      <c r="G215" t="s">
        <v>22</v>
      </c>
      <c r="I215" t="s">
        <v>851</v>
      </c>
      <c r="J215" t="s">
        <v>852</v>
      </c>
      <c r="K215">
        <v>1484</v>
      </c>
      <c r="L215" t="s">
        <v>198</v>
      </c>
      <c r="M215" t="s">
        <v>36</v>
      </c>
      <c r="N215" t="s">
        <v>28</v>
      </c>
      <c r="O215" t="s">
        <v>634</v>
      </c>
      <c r="P215" t="s">
        <v>30</v>
      </c>
      <c r="Q215" t="s">
        <v>181</v>
      </c>
      <c r="R215" s="3" t="str">
        <f>HYPERLINK("..\..\Imagery\ScannedGeochron\UPb\Gowe2008Fig6g.jpg")</f>
        <v>..\..\Imagery\ScannedGeochron\UPb\Gowe2008Fig6g.jpg</v>
      </c>
      <c r="S215" t="s">
        <v>853</v>
      </c>
    </row>
    <row r="216" spans="1:19" x14ac:dyDescent="0.25">
      <c r="A216" t="s">
        <v>854</v>
      </c>
      <c r="B216" t="s">
        <v>854</v>
      </c>
      <c r="C216" t="s">
        <v>21</v>
      </c>
      <c r="D216">
        <v>362930</v>
      </c>
      <c r="E216">
        <v>5765194</v>
      </c>
      <c r="F216">
        <v>21</v>
      </c>
      <c r="G216" t="s">
        <v>22</v>
      </c>
      <c r="I216" t="s">
        <v>855</v>
      </c>
      <c r="J216" t="s">
        <v>856</v>
      </c>
      <c r="K216">
        <v>1039</v>
      </c>
      <c r="L216" t="s">
        <v>198</v>
      </c>
      <c r="M216" t="s">
        <v>36</v>
      </c>
      <c r="N216" t="s">
        <v>58</v>
      </c>
      <c r="O216" t="s">
        <v>523</v>
      </c>
      <c r="P216" t="s">
        <v>30</v>
      </c>
      <c r="Q216" t="s">
        <v>181</v>
      </c>
      <c r="R216" s="3" t="str">
        <f>HYPERLINK("..\..\Imagery\ScannedGeochron\UPb\Gowe2008Fig7d.jpg")</f>
        <v>..\..\Imagery\ScannedGeochron\UPb\Gowe2008Fig7d.jpg</v>
      </c>
    </row>
    <row r="217" spans="1:19" x14ac:dyDescent="0.25">
      <c r="A217" t="s">
        <v>857</v>
      </c>
      <c r="B217" t="s">
        <v>858</v>
      </c>
      <c r="C217" t="s">
        <v>21</v>
      </c>
      <c r="D217">
        <v>332160</v>
      </c>
      <c r="E217">
        <v>5771420</v>
      </c>
      <c r="F217">
        <v>21</v>
      </c>
      <c r="G217" t="s">
        <v>22</v>
      </c>
      <c r="H217" t="s">
        <v>23</v>
      </c>
      <c r="I217" t="s">
        <v>859</v>
      </c>
      <c r="J217" t="s">
        <v>860</v>
      </c>
      <c r="K217">
        <v>2377</v>
      </c>
      <c r="L217" t="s">
        <v>198</v>
      </c>
      <c r="M217" t="s">
        <v>36</v>
      </c>
      <c r="N217" t="s">
        <v>28</v>
      </c>
      <c r="O217" t="s">
        <v>166</v>
      </c>
      <c r="P217" t="s">
        <v>97</v>
      </c>
      <c r="Q217" t="s">
        <v>181</v>
      </c>
      <c r="R217" s="3" t="str">
        <f>HYPERLINK("..\..\Imagery\ScannedGeochron\UPb\Gowe2008Fig7a.jpg")</f>
        <v>..\..\Imagery\ScannedGeochron\UPb\Gowe2008Fig7a.jpg</v>
      </c>
      <c r="S217" t="s">
        <v>861</v>
      </c>
    </row>
    <row r="218" spans="1:19" x14ac:dyDescent="0.25">
      <c r="A218" t="s">
        <v>857</v>
      </c>
      <c r="B218" t="s">
        <v>862</v>
      </c>
      <c r="C218" t="s">
        <v>21</v>
      </c>
      <c r="D218">
        <v>332160</v>
      </c>
      <c r="E218">
        <v>5771420</v>
      </c>
      <c r="F218">
        <v>21</v>
      </c>
      <c r="G218" t="s">
        <v>22</v>
      </c>
      <c r="H218" t="s">
        <v>23</v>
      </c>
      <c r="I218" t="s">
        <v>863</v>
      </c>
      <c r="J218" t="s">
        <v>864</v>
      </c>
      <c r="K218">
        <v>1043</v>
      </c>
      <c r="L218" t="s">
        <v>198</v>
      </c>
      <c r="M218" t="s">
        <v>36</v>
      </c>
      <c r="N218" t="s">
        <v>58</v>
      </c>
      <c r="O218" t="s">
        <v>559</v>
      </c>
      <c r="P218" t="s">
        <v>30</v>
      </c>
      <c r="Q218" t="s">
        <v>181</v>
      </c>
      <c r="R218" s="3" t="str">
        <f>HYPERLINK("..\..\Imagery\ScannedGeochron\UPb\Gowe2008Fig7b.jpg")</f>
        <v>..\..\Imagery\ScannedGeochron\UPb\Gowe2008Fig7b.jpg</v>
      </c>
      <c r="S218" t="s">
        <v>865</v>
      </c>
    </row>
    <row r="219" spans="1:19" x14ac:dyDescent="0.25">
      <c r="A219" t="s">
        <v>857</v>
      </c>
      <c r="B219" t="s">
        <v>866</v>
      </c>
      <c r="C219" t="s">
        <v>21</v>
      </c>
      <c r="D219">
        <v>332160</v>
      </c>
      <c r="E219">
        <v>5771420</v>
      </c>
      <c r="F219">
        <v>21</v>
      </c>
      <c r="G219" t="s">
        <v>22</v>
      </c>
      <c r="H219" t="s">
        <v>23</v>
      </c>
      <c r="I219" t="s">
        <v>867</v>
      </c>
      <c r="J219" t="s">
        <v>868</v>
      </c>
      <c r="K219">
        <v>972</v>
      </c>
      <c r="L219" t="s">
        <v>198</v>
      </c>
      <c r="M219" t="s">
        <v>103</v>
      </c>
      <c r="N219" t="s">
        <v>58</v>
      </c>
      <c r="O219" t="s">
        <v>717</v>
      </c>
      <c r="P219" t="s">
        <v>39</v>
      </c>
      <c r="Q219" t="s">
        <v>181</v>
      </c>
      <c r="R219" s="3" t="str">
        <f>HYPERLINK("..\..\Imagery\ScannedGeochron\UPb\Gowe2008Fig7c.jpg")</f>
        <v>..\..\Imagery\ScannedGeochron\UPb\Gowe2008Fig7c.jpg</v>
      </c>
      <c r="S219" t="s">
        <v>869</v>
      </c>
    </row>
    <row r="220" spans="1:19" x14ac:dyDescent="0.25">
      <c r="A220" t="s">
        <v>870</v>
      </c>
      <c r="B220" t="s">
        <v>870</v>
      </c>
      <c r="C220" t="s">
        <v>21</v>
      </c>
      <c r="D220">
        <v>348549</v>
      </c>
      <c r="E220">
        <v>5778559</v>
      </c>
      <c r="F220">
        <v>21</v>
      </c>
      <c r="G220" t="s">
        <v>22</v>
      </c>
      <c r="I220" t="s">
        <v>871</v>
      </c>
      <c r="J220" t="s">
        <v>872</v>
      </c>
      <c r="K220">
        <v>2399</v>
      </c>
      <c r="L220" t="s">
        <v>198</v>
      </c>
      <c r="M220" t="s">
        <v>36</v>
      </c>
      <c r="N220" t="s">
        <v>28</v>
      </c>
      <c r="O220" t="s">
        <v>873</v>
      </c>
      <c r="P220" t="s">
        <v>97</v>
      </c>
      <c r="Q220" t="s">
        <v>181</v>
      </c>
      <c r="R220" s="3" t="str">
        <f>HYPERLINK("..\..\Imagery\ScannedGeochron\UPb\Gowe2008Fig7e.jpg")</f>
        <v>..\..\Imagery\ScannedGeochron\UPb\Gowe2008Fig7e.jpg</v>
      </c>
      <c r="S220" t="s">
        <v>874</v>
      </c>
    </row>
    <row r="221" spans="1:19" x14ac:dyDescent="0.25">
      <c r="A221" t="s">
        <v>875</v>
      </c>
      <c r="B221" t="s">
        <v>875</v>
      </c>
      <c r="C221" t="s">
        <v>21</v>
      </c>
      <c r="D221">
        <v>312474</v>
      </c>
      <c r="E221">
        <v>5810669</v>
      </c>
      <c r="F221">
        <v>21</v>
      </c>
      <c r="G221" t="s">
        <v>22</v>
      </c>
      <c r="I221" t="s">
        <v>876</v>
      </c>
      <c r="J221" t="s">
        <v>609</v>
      </c>
      <c r="K221">
        <v>962</v>
      </c>
      <c r="L221" t="s">
        <v>198</v>
      </c>
      <c r="M221" t="s">
        <v>36</v>
      </c>
      <c r="N221" t="s">
        <v>104</v>
      </c>
      <c r="O221" t="s">
        <v>877</v>
      </c>
      <c r="P221" t="s">
        <v>30</v>
      </c>
      <c r="Q221" t="s">
        <v>181</v>
      </c>
      <c r="R221" s="3" t="str">
        <f>HYPERLINK("..\..\Imagery\ScannedGeochron\UPb\Gowe2008Fig7g.jpg")</f>
        <v>..\..\Imagery\ScannedGeochron\UPb\Gowe2008Fig7g.jpg</v>
      </c>
      <c r="S221" t="s">
        <v>878</v>
      </c>
    </row>
    <row r="222" spans="1:19" x14ac:dyDescent="0.25">
      <c r="A222" t="s">
        <v>327</v>
      </c>
      <c r="B222" t="s">
        <v>332</v>
      </c>
      <c r="C222" t="s">
        <v>21</v>
      </c>
      <c r="D222">
        <v>422605</v>
      </c>
      <c r="E222">
        <v>5774107</v>
      </c>
      <c r="F222">
        <v>21</v>
      </c>
      <c r="G222" t="s">
        <v>22</v>
      </c>
      <c r="H222" t="s">
        <v>23</v>
      </c>
      <c r="I222" t="s">
        <v>333</v>
      </c>
      <c r="J222" t="s">
        <v>879</v>
      </c>
      <c r="K222">
        <v>958</v>
      </c>
      <c r="L222" t="s">
        <v>198</v>
      </c>
      <c r="M222" t="s">
        <v>103</v>
      </c>
      <c r="N222" t="s">
        <v>28</v>
      </c>
      <c r="O222" t="s">
        <v>880</v>
      </c>
      <c r="P222" t="s">
        <v>39</v>
      </c>
      <c r="Q222" t="s">
        <v>181</v>
      </c>
      <c r="R222" s="3" t="str">
        <f>HYPERLINK("..\..\Imagery\ScannedGeochron\UPb\Gowe2008Fig5d.jpg")</f>
        <v>..\..\Imagery\ScannedGeochron\UPb\Gowe2008Fig5d.jpg</v>
      </c>
    </row>
    <row r="223" spans="1:19" x14ac:dyDescent="0.25">
      <c r="A223" t="s">
        <v>335</v>
      </c>
      <c r="B223" t="s">
        <v>336</v>
      </c>
      <c r="C223" t="s">
        <v>21</v>
      </c>
      <c r="D223">
        <v>372580</v>
      </c>
      <c r="E223">
        <v>5783976</v>
      </c>
      <c r="F223">
        <v>21</v>
      </c>
      <c r="G223" t="s">
        <v>22</v>
      </c>
      <c r="H223" t="s">
        <v>23</v>
      </c>
      <c r="I223" t="s">
        <v>337</v>
      </c>
      <c r="J223" t="s">
        <v>881</v>
      </c>
      <c r="K223">
        <v>1628</v>
      </c>
      <c r="L223" t="s">
        <v>198</v>
      </c>
      <c r="M223" t="s">
        <v>36</v>
      </c>
      <c r="N223" t="s">
        <v>28</v>
      </c>
      <c r="O223" t="s">
        <v>882</v>
      </c>
      <c r="P223" t="s">
        <v>30</v>
      </c>
      <c r="Q223" t="s">
        <v>181</v>
      </c>
      <c r="R223" s="3" t="str">
        <f>HYPERLINK("..\..\Imagery\ScannedGeochron\UPb\Gowe2008Fig5e.jpg")</f>
        <v>..\..\Imagery\ScannedGeochron\UPb\Gowe2008Fig5e.jpg</v>
      </c>
    </row>
    <row r="224" spans="1:19" x14ac:dyDescent="0.25">
      <c r="A224" t="s">
        <v>335</v>
      </c>
      <c r="B224" t="s">
        <v>336</v>
      </c>
      <c r="C224" t="s">
        <v>21</v>
      </c>
      <c r="D224">
        <v>372580</v>
      </c>
      <c r="E224">
        <v>5783976</v>
      </c>
      <c r="F224">
        <v>21</v>
      </c>
      <c r="G224" t="s">
        <v>22</v>
      </c>
      <c r="H224" t="s">
        <v>23</v>
      </c>
      <c r="I224" t="s">
        <v>337</v>
      </c>
      <c r="J224" t="s">
        <v>883</v>
      </c>
      <c r="K224">
        <v>1029</v>
      </c>
      <c r="L224" t="s">
        <v>198</v>
      </c>
      <c r="M224" t="s">
        <v>36</v>
      </c>
      <c r="N224" t="s">
        <v>58</v>
      </c>
      <c r="O224" t="s">
        <v>884</v>
      </c>
      <c r="P224" t="s">
        <v>39</v>
      </c>
      <c r="Q224" t="s">
        <v>181</v>
      </c>
      <c r="R224" s="3" t="str">
        <f>HYPERLINK("..\..\Imagery\ScannedGeochron\UPb\Gowe2008Fig5e.jpg")</f>
        <v>..\..\Imagery\ScannedGeochron\UPb\Gowe2008Fig5e.jpg</v>
      </c>
    </row>
    <row r="225" spans="1:19" x14ac:dyDescent="0.25">
      <c r="A225" t="s">
        <v>335</v>
      </c>
      <c r="B225" t="s">
        <v>336</v>
      </c>
      <c r="C225" t="s">
        <v>21</v>
      </c>
      <c r="D225">
        <v>372580</v>
      </c>
      <c r="E225">
        <v>5783976</v>
      </c>
      <c r="F225">
        <v>21</v>
      </c>
      <c r="G225" t="s">
        <v>22</v>
      </c>
      <c r="H225" t="s">
        <v>23</v>
      </c>
      <c r="I225" t="s">
        <v>337</v>
      </c>
      <c r="J225" t="s">
        <v>885</v>
      </c>
      <c r="K225">
        <v>1024</v>
      </c>
      <c r="L225" t="s">
        <v>198</v>
      </c>
      <c r="M225" t="s">
        <v>263</v>
      </c>
      <c r="N225" t="s">
        <v>28</v>
      </c>
      <c r="O225" t="s">
        <v>712</v>
      </c>
      <c r="P225" t="s">
        <v>39</v>
      </c>
      <c r="Q225" t="s">
        <v>181</v>
      </c>
      <c r="R225" s="3" t="str">
        <f>HYPERLINK("..\..\Imagery\ScannedGeochron\UPb\Gowe2008Fig5e.jpg")</f>
        <v>..\..\Imagery\ScannedGeochron\UPb\Gowe2008Fig5e.jpg</v>
      </c>
    </row>
    <row r="226" spans="1:19" x14ac:dyDescent="0.25">
      <c r="A226" t="s">
        <v>335</v>
      </c>
      <c r="B226" t="s">
        <v>822</v>
      </c>
      <c r="C226" t="s">
        <v>21</v>
      </c>
      <c r="D226">
        <v>372580</v>
      </c>
      <c r="E226">
        <v>5783976</v>
      </c>
      <c r="F226">
        <v>21</v>
      </c>
      <c r="G226" t="s">
        <v>22</v>
      </c>
      <c r="H226" t="s">
        <v>23</v>
      </c>
      <c r="I226" t="s">
        <v>823</v>
      </c>
      <c r="J226" t="s">
        <v>886</v>
      </c>
      <c r="K226">
        <v>953</v>
      </c>
      <c r="L226" t="s">
        <v>198</v>
      </c>
      <c r="M226" t="s">
        <v>36</v>
      </c>
      <c r="N226" t="s">
        <v>58</v>
      </c>
      <c r="O226" t="s">
        <v>887</v>
      </c>
      <c r="P226" t="s">
        <v>39</v>
      </c>
      <c r="Q226" t="s">
        <v>181</v>
      </c>
      <c r="R226" s="3" t="str">
        <f>HYPERLINK("..\..\Imagery\ScannedGeochron\UPb\Gowe2008Fig5e.jpg")</f>
        <v>..\..\Imagery\ScannedGeochron\UPb\Gowe2008Fig5e.jpg</v>
      </c>
    </row>
    <row r="227" spans="1:19" x14ac:dyDescent="0.25">
      <c r="A227" t="s">
        <v>831</v>
      </c>
      <c r="B227" t="s">
        <v>888</v>
      </c>
      <c r="C227" t="s">
        <v>21</v>
      </c>
      <c r="D227">
        <v>377348</v>
      </c>
      <c r="E227">
        <v>5762342</v>
      </c>
      <c r="F227">
        <v>21</v>
      </c>
      <c r="G227" t="s">
        <v>22</v>
      </c>
      <c r="H227" t="s">
        <v>23</v>
      </c>
      <c r="I227" t="s">
        <v>889</v>
      </c>
      <c r="J227" t="s">
        <v>890</v>
      </c>
      <c r="K227">
        <v>1025</v>
      </c>
      <c r="L227" t="s">
        <v>198</v>
      </c>
      <c r="M227" t="s">
        <v>36</v>
      </c>
      <c r="N227" t="s">
        <v>28</v>
      </c>
      <c r="O227" t="s">
        <v>891</v>
      </c>
      <c r="P227" t="s">
        <v>30</v>
      </c>
      <c r="Q227" t="s">
        <v>181</v>
      </c>
      <c r="R227" s="3" t="str">
        <f>HYPERLINK("..\..\Imagery\ScannedGeochron\UPb\Gowe2008Fig6a.jpg")</f>
        <v>..\..\Imagery\ScannedGeochron\UPb\Gowe2008Fig6a.jpg</v>
      </c>
    </row>
    <row r="228" spans="1:19" x14ac:dyDescent="0.25">
      <c r="A228" t="s">
        <v>831</v>
      </c>
      <c r="B228" t="s">
        <v>888</v>
      </c>
      <c r="C228" t="s">
        <v>21</v>
      </c>
      <c r="D228">
        <v>377348</v>
      </c>
      <c r="E228">
        <v>5762342</v>
      </c>
      <c r="F228">
        <v>21</v>
      </c>
      <c r="G228" t="s">
        <v>22</v>
      </c>
      <c r="H228" t="s">
        <v>23</v>
      </c>
      <c r="I228" t="s">
        <v>889</v>
      </c>
      <c r="J228" t="s">
        <v>892</v>
      </c>
      <c r="K228">
        <v>1024</v>
      </c>
      <c r="L228" t="s">
        <v>198</v>
      </c>
      <c r="M228" t="s">
        <v>263</v>
      </c>
      <c r="N228" t="s">
        <v>58</v>
      </c>
      <c r="O228" t="s">
        <v>592</v>
      </c>
      <c r="P228" t="s">
        <v>39</v>
      </c>
      <c r="Q228" t="s">
        <v>181</v>
      </c>
      <c r="R228" s="3" t="str">
        <f>HYPERLINK("..\..\Imagery\ScannedGeochron\UPb\Gowe2008Fig6a.jpg")</f>
        <v>..\..\Imagery\ScannedGeochron\UPb\Gowe2008Fig6a.jpg</v>
      </c>
    </row>
    <row r="229" spans="1:19" x14ac:dyDescent="0.25">
      <c r="A229" t="s">
        <v>836</v>
      </c>
      <c r="B229" t="s">
        <v>837</v>
      </c>
      <c r="C229" t="s">
        <v>21</v>
      </c>
      <c r="D229">
        <v>343243</v>
      </c>
      <c r="E229">
        <v>5812334</v>
      </c>
      <c r="F229">
        <v>21</v>
      </c>
      <c r="G229" t="s">
        <v>22</v>
      </c>
      <c r="H229" t="s">
        <v>23</v>
      </c>
      <c r="I229" t="s">
        <v>838</v>
      </c>
      <c r="J229" t="s">
        <v>893</v>
      </c>
      <c r="K229">
        <v>999</v>
      </c>
      <c r="L229" t="s">
        <v>198</v>
      </c>
      <c r="M229" t="s">
        <v>36</v>
      </c>
      <c r="N229" t="s">
        <v>320</v>
      </c>
      <c r="O229" t="s">
        <v>840</v>
      </c>
      <c r="P229" t="s">
        <v>39</v>
      </c>
      <c r="Q229" t="s">
        <v>181</v>
      </c>
      <c r="R229" s="3" t="str">
        <f>HYPERLINK("..\..\Imagery\ScannedGeochron\UPb\Gowe2008Fig6b.jpg")</f>
        <v>..\..\Imagery\ScannedGeochron\UPb\Gowe2008Fig6b.jpg</v>
      </c>
      <c r="S229" t="s">
        <v>894</v>
      </c>
    </row>
    <row r="230" spans="1:19" x14ac:dyDescent="0.25">
      <c r="A230" t="s">
        <v>836</v>
      </c>
      <c r="B230" t="s">
        <v>895</v>
      </c>
      <c r="C230" t="s">
        <v>21</v>
      </c>
      <c r="D230">
        <v>343243</v>
      </c>
      <c r="E230">
        <v>5812334</v>
      </c>
      <c r="F230">
        <v>21</v>
      </c>
      <c r="G230" t="s">
        <v>22</v>
      </c>
      <c r="H230" t="s">
        <v>23</v>
      </c>
      <c r="I230" t="s">
        <v>896</v>
      </c>
      <c r="J230" t="s">
        <v>897</v>
      </c>
      <c r="K230">
        <v>942</v>
      </c>
      <c r="L230" t="s">
        <v>198</v>
      </c>
      <c r="M230" t="s">
        <v>103</v>
      </c>
      <c r="N230" t="s">
        <v>104</v>
      </c>
      <c r="O230" t="s">
        <v>247</v>
      </c>
      <c r="P230" t="s">
        <v>359</v>
      </c>
      <c r="Q230" t="s">
        <v>181</v>
      </c>
      <c r="R230" s="3" t="str">
        <f>HYPERLINK("..\..\Imagery\ScannedGeochron\UPb\Gowe2008Fig6b.jpg")</f>
        <v>..\..\Imagery\ScannedGeochron\UPb\Gowe2008Fig6b.jpg</v>
      </c>
    </row>
    <row r="231" spans="1:19" x14ac:dyDescent="0.25">
      <c r="A231" t="s">
        <v>836</v>
      </c>
      <c r="B231" t="s">
        <v>842</v>
      </c>
      <c r="C231" t="s">
        <v>21</v>
      </c>
      <c r="D231">
        <v>343243</v>
      </c>
      <c r="E231">
        <v>5812334</v>
      </c>
      <c r="F231">
        <v>21</v>
      </c>
      <c r="G231" t="s">
        <v>22</v>
      </c>
      <c r="H231" t="s">
        <v>23</v>
      </c>
      <c r="I231" t="s">
        <v>843</v>
      </c>
      <c r="J231" t="s">
        <v>898</v>
      </c>
      <c r="K231">
        <v>988</v>
      </c>
      <c r="L231" t="s">
        <v>198</v>
      </c>
      <c r="M231" t="s">
        <v>103</v>
      </c>
      <c r="N231" t="s">
        <v>58</v>
      </c>
      <c r="O231" t="s">
        <v>723</v>
      </c>
      <c r="P231" t="s">
        <v>39</v>
      </c>
      <c r="Q231" t="s">
        <v>181</v>
      </c>
      <c r="R231" s="3" t="str">
        <f>HYPERLINK("..\..\Imagery\ScannedGeochron\UPb\Gowe2008Fig6c.jpg")</f>
        <v>..\..\Imagery\ScannedGeochron\UPb\Gowe2008Fig6c.jpg</v>
      </c>
    </row>
    <row r="232" spans="1:19" x14ac:dyDescent="0.25">
      <c r="A232" t="s">
        <v>846</v>
      </c>
      <c r="B232" t="s">
        <v>846</v>
      </c>
      <c r="C232" t="s">
        <v>21</v>
      </c>
      <c r="D232">
        <v>373843</v>
      </c>
      <c r="E232">
        <v>5784611</v>
      </c>
      <c r="F232">
        <v>21</v>
      </c>
      <c r="G232" t="s">
        <v>22</v>
      </c>
      <c r="I232" t="s">
        <v>847</v>
      </c>
      <c r="J232" t="s">
        <v>899</v>
      </c>
      <c r="K232">
        <v>1497</v>
      </c>
      <c r="L232" t="s">
        <v>198</v>
      </c>
      <c r="M232" t="s">
        <v>36</v>
      </c>
      <c r="N232" t="s">
        <v>28</v>
      </c>
      <c r="O232" t="s">
        <v>497</v>
      </c>
      <c r="P232" t="s">
        <v>30</v>
      </c>
      <c r="Q232" t="s">
        <v>181</v>
      </c>
      <c r="R232" s="3" t="str">
        <f>HYPERLINK("..\..\Imagery\ScannedGeochron\UPb\Gowe2008Fig6f.jpg")</f>
        <v>..\..\Imagery\ScannedGeochron\UPb\Gowe2008Fig6f.jpg</v>
      </c>
    </row>
    <row r="233" spans="1:19" x14ac:dyDescent="0.25">
      <c r="A233" t="s">
        <v>846</v>
      </c>
      <c r="B233" t="s">
        <v>846</v>
      </c>
      <c r="C233" t="s">
        <v>21</v>
      </c>
      <c r="D233">
        <v>373843</v>
      </c>
      <c r="E233">
        <v>5784611</v>
      </c>
      <c r="F233">
        <v>21</v>
      </c>
      <c r="G233" t="s">
        <v>22</v>
      </c>
      <c r="I233" t="s">
        <v>847</v>
      </c>
      <c r="J233" t="s">
        <v>900</v>
      </c>
      <c r="K233">
        <v>1023</v>
      </c>
      <c r="L233" t="s">
        <v>198</v>
      </c>
      <c r="M233" t="s">
        <v>36</v>
      </c>
      <c r="N233" t="s">
        <v>320</v>
      </c>
      <c r="O233" t="s">
        <v>497</v>
      </c>
      <c r="P233" t="s">
        <v>39</v>
      </c>
      <c r="Q233" t="s">
        <v>181</v>
      </c>
      <c r="R233" s="3" t="str">
        <f>HYPERLINK("..\..\Imagery\ScannedGeochron\UPb\Gowe2008Fig6f.jpg")</f>
        <v>..\..\Imagery\ScannedGeochron\UPb\Gowe2008Fig6f.jpg</v>
      </c>
    </row>
    <row r="234" spans="1:19" x14ac:dyDescent="0.25">
      <c r="A234" t="s">
        <v>846</v>
      </c>
      <c r="B234" t="s">
        <v>846</v>
      </c>
      <c r="C234" t="s">
        <v>21</v>
      </c>
      <c r="D234">
        <v>373843</v>
      </c>
      <c r="E234">
        <v>5784611</v>
      </c>
      <c r="F234">
        <v>21</v>
      </c>
      <c r="G234" t="s">
        <v>22</v>
      </c>
      <c r="I234" t="s">
        <v>847</v>
      </c>
      <c r="J234" t="s">
        <v>901</v>
      </c>
      <c r="K234">
        <v>942</v>
      </c>
      <c r="L234" t="s">
        <v>198</v>
      </c>
      <c r="M234" t="s">
        <v>103</v>
      </c>
      <c r="N234" t="s">
        <v>104</v>
      </c>
      <c r="O234" t="s">
        <v>902</v>
      </c>
      <c r="P234" t="s">
        <v>359</v>
      </c>
      <c r="Q234" t="s">
        <v>181</v>
      </c>
      <c r="R234" s="3" t="str">
        <f>HYPERLINK("..\..\Imagery\ScannedGeochron\UPb\Gowe2008Fig6f.jpg")</f>
        <v>..\..\Imagery\ScannedGeochron\UPb\Gowe2008Fig6f.jpg</v>
      </c>
    </row>
    <row r="235" spans="1:19" x14ac:dyDescent="0.25">
      <c r="A235" t="s">
        <v>622</v>
      </c>
      <c r="B235" t="s">
        <v>623</v>
      </c>
      <c r="C235" t="s">
        <v>21</v>
      </c>
      <c r="D235">
        <v>333310</v>
      </c>
      <c r="E235">
        <v>5835479</v>
      </c>
      <c r="F235">
        <v>21</v>
      </c>
      <c r="G235" t="s">
        <v>22</v>
      </c>
      <c r="I235" t="s">
        <v>624</v>
      </c>
      <c r="J235" t="s">
        <v>903</v>
      </c>
      <c r="K235">
        <v>993</v>
      </c>
      <c r="L235" t="s">
        <v>172</v>
      </c>
      <c r="M235" t="s">
        <v>36</v>
      </c>
      <c r="N235" t="s">
        <v>320</v>
      </c>
      <c r="O235" t="s">
        <v>820</v>
      </c>
      <c r="P235" t="s">
        <v>39</v>
      </c>
      <c r="Q235" t="s">
        <v>181</v>
      </c>
      <c r="R235" s="3" t="str">
        <f>HYPERLINK("..\..\Imagery\ScannedGeochron\UPb\Gowe2008Fig6h.jpg")</f>
        <v>..\..\Imagery\ScannedGeochron\UPb\Gowe2008Fig6h.jpg</v>
      </c>
    </row>
    <row r="236" spans="1:19" x14ac:dyDescent="0.25">
      <c r="A236" t="s">
        <v>850</v>
      </c>
      <c r="B236" t="s">
        <v>850</v>
      </c>
      <c r="C236" t="s">
        <v>21</v>
      </c>
      <c r="D236">
        <v>338753</v>
      </c>
      <c r="E236">
        <v>5779217</v>
      </c>
      <c r="F236">
        <v>21</v>
      </c>
      <c r="G236" t="s">
        <v>22</v>
      </c>
      <c r="I236" t="s">
        <v>851</v>
      </c>
      <c r="J236" t="s">
        <v>904</v>
      </c>
      <c r="K236">
        <v>1022</v>
      </c>
      <c r="L236" t="s">
        <v>198</v>
      </c>
      <c r="M236" t="s">
        <v>36</v>
      </c>
      <c r="N236" t="s">
        <v>320</v>
      </c>
      <c r="O236" t="s">
        <v>820</v>
      </c>
      <c r="P236" t="s">
        <v>39</v>
      </c>
      <c r="Q236" t="s">
        <v>181</v>
      </c>
      <c r="R236" s="3" t="str">
        <f>HYPERLINK("..\..\Imagery\ScannedGeochron\UPb\Gowe2008Fig6g.jpg")</f>
        <v>..\..\Imagery\ScannedGeochron\UPb\Gowe2008Fig6g.jpg</v>
      </c>
    </row>
    <row r="237" spans="1:19" x14ac:dyDescent="0.25">
      <c r="A237" t="s">
        <v>850</v>
      </c>
      <c r="B237" t="s">
        <v>850</v>
      </c>
      <c r="C237" t="s">
        <v>21</v>
      </c>
      <c r="D237">
        <v>338753</v>
      </c>
      <c r="E237">
        <v>5779217</v>
      </c>
      <c r="F237">
        <v>21</v>
      </c>
      <c r="G237" t="s">
        <v>22</v>
      </c>
      <c r="I237" t="s">
        <v>851</v>
      </c>
      <c r="J237" t="s">
        <v>905</v>
      </c>
      <c r="K237">
        <v>958</v>
      </c>
      <c r="L237" t="s">
        <v>198</v>
      </c>
      <c r="M237" t="s">
        <v>103</v>
      </c>
      <c r="N237" t="s">
        <v>58</v>
      </c>
      <c r="O237" t="s">
        <v>105</v>
      </c>
      <c r="P237" t="s">
        <v>39</v>
      </c>
      <c r="Q237" t="s">
        <v>181</v>
      </c>
      <c r="R237" s="3" t="str">
        <f>HYPERLINK("..\..\Imagery\ScannedGeochron\UPb\Gowe2008Fig6g.jpg")</f>
        <v>..\..\Imagery\ScannedGeochron\UPb\Gowe2008Fig6g.jpg</v>
      </c>
      <c r="S237" t="s">
        <v>906</v>
      </c>
    </row>
    <row r="238" spans="1:19" x14ac:dyDescent="0.25">
      <c r="A238" t="s">
        <v>854</v>
      </c>
      <c r="B238" t="s">
        <v>854</v>
      </c>
      <c r="C238" t="s">
        <v>21</v>
      </c>
      <c r="D238">
        <v>362930</v>
      </c>
      <c r="E238">
        <v>5765194</v>
      </c>
      <c r="F238">
        <v>21</v>
      </c>
      <c r="G238" t="s">
        <v>22</v>
      </c>
      <c r="I238" t="s">
        <v>855</v>
      </c>
      <c r="J238" t="s">
        <v>907</v>
      </c>
      <c r="K238">
        <v>977</v>
      </c>
      <c r="L238" t="s">
        <v>198</v>
      </c>
      <c r="M238" t="s">
        <v>103</v>
      </c>
      <c r="N238" t="s">
        <v>58</v>
      </c>
      <c r="O238" t="s">
        <v>163</v>
      </c>
      <c r="P238" t="s">
        <v>39</v>
      </c>
      <c r="Q238" t="s">
        <v>181</v>
      </c>
      <c r="R238" s="3" t="str">
        <f>HYPERLINK("..\..\Imagery\ScannedGeochron\UPb\Gowe2008Fig7d.jpg")</f>
        <v>..\..\Imagery\ScannedGeochron\UPb\Gowe2008Fig7d.jpg</v>
      </c>
    </row>
    <row r="239" spans="1:19" x14ac:dyDescent="0.25">
      <c r="A239" t="s">
        <v>857</v>
      </c>
      <c r="B239" t="s">
        <v>858</v>
      </c>
      <c r="C239" t="s">
        <v>21</v>
      </c>
      <c r="D239">
        <v>332160</v>
      </c>
      <c r="E239">
        <v>5771420</v>
      </c>
      <c r="F239">
        <v>21</v>
      </c>
      <c r="G239" t="s">
        <v>22</v>
      </c>
      <c r="H239" t="s">
        <v>23</v>
      </c>
      <c r="I239" t="s">
        <v>859</v>
      </c>
      <c r="J239" t="s">
        <v>908</v>
      </c>
      <c r="K239">
        <v>1771</v>
      </c>
      <c r="L239" t="s">
        <v>198</v>
      </c>
      <c r="M239" t="s">
        <v>36</v>
      </c>
      <c r="N239" t="s">
        <v>28</v>
      </c>
      <c r="O239" t="s">
        <v>909</v>
      </c>
      <c r="P239" t="s">
        <v>30</v>
      </c>
      <c r="Q239" t="s">
        <v>181</v>
      </c>
      <c r="R239" s="3" t="str">
        <f>HYPERLINK("..\..\Imagery\ScannedGeochron\UPb\Gowe2008Fig7a.jpg")</f>
        <v>..\..\Imagery\ScannedGeochron\UPb\Gowe2008Fig7a.jpg</v>
      </c>
      <c r="S239" t="s">
        <v>910</v>
      </c>
    </row>
    <row r="240" spans="1:19" x14ac:dyDescent="0.25">
      <c r="A240" t="s">
        <v>857</v>
      </c>
      <c r="B240" t="s">
        <v>862</v>
      </c>
      <c r="C240" t="s">
        <v>21</v>
      </c>
      <c r="D240">
        <v>332160</v>
      </c>
      <c r="E240">
        <v>5771420</v>
      </c>
      <c r="F240">
        <v>21</v>
      </c>
      <c r="G240" t="s">
        <v>22</v>
      </c>
      <c r="H240" t="s">
        <v>23</v>
      </c>
      <c r="I240" t="s">
        <v>863</v>
      </c>
      <c r="J240" t="s">
        <v>911</v>
      </c>
      <c r="K240">
        <v>1022</v>
      </c>
      <c r="L240" t="s">
        <v>198</v>
      </c>
      <c r="M240" t="s">
        <v>103</v>
      </c>
      <c r="N240" t="s">
        <v>104</v>
      </c>
      <c r="O240" t="s">
        <v>723</v>
      </c>
      <c r="P240" t="s">
        <v>39</v>
      </c>
      <c r="Q240" t="s">
        <v>181</v>
      </c>
      <c r="R240" s="3" t="str">
        <f>HYPERLINK("..\..\Imagery\ScannedGeochron\UPb\Gowe2008Fig7b.jpg")</f>
        <v>..\..\Imagery\ScannedGeochron\UPb\Gowe2008Fig7b.jpg</v>
      </c>
    </row>
    <row r="241" spans="1:19" x14ac:dyDescent="0.25">
      <c r="A241" t="s">
        <v>857</v>
      </c>
      <c r="B241" t="s">
        <v>866</v>
      </c>
      <c r="C241" t="s">
        <v>21</v>
      </c>
      <c r="D241">
        <v>332160</v>
      </c>
      <c r="E241">
        <v>5771420</v>
      </c>
      <c r="F241">
        <v>21</v>
      </c>
      <c r="G241" t="s">
        <v>22</v>
      </c>
      <c r="H241" t="s">
        <v>23</v>
      </c>
      <c r="I241" t="s">
        <v>867</v>
      </c>
      <c r="J241" t="s">
        <v>912</v>
      </c>
      <c r="K241">
        <v>958</v>
      </c>
      <c r="L241" t="s">
        <v>198</v>
      </c>
      <c r="M241" t="s">
        <v>103</v>
      </c>
      <c r="N241" t="s">
        <v>58</v>
      </c>
      <c r="O241" t="s">
        <v>913</v>
      </c>
      <c r="P241" t="s">
        <v>39</v>
      </c>
      <c r="Q241" t="s">
        <v>181</v>
      </c>
      <c r="R241" s="3" t="str">
        <f>HYPERLINK("..\..\Imagery\ScannedGeochron\UPb\Gowe2008Fig7c.jpg")</f>
        <v>..\..\Imagery\ScannedGeochron\UPb\Gowe2008Fig7c.jpg</v>
      </c>
      <c r="S241" t="s">
        <v>869</v>
      </c>
    </row>
    <row r="242" spans="1:19" x14ac:dyDescent="0.25">
      <c r="A242" t="s">
        <v>870</v>
      </c>
      <c r="B242" t="s">
        <v>870</v>
      </c>
      <c r="C242" t="s">
        <v>21</v>
      </c>
      <c r="D242">
        <v>348549</v>
      </c>
      <c r="E242">
        <v>5778559</v>
      </c>
      <c r="F242">
        <v>21</v>
      </c>
      <c r="G242" t="s">
        <v>22</v>
      </c>
      <c r="I242" t="s">
        <v>871</v>
      </c>
      <c r="J242" t="s">
        <v>914</v>
      </c>
      <c r="K242">
        <v>1015</v>
      </c>
      <c r="L242" t="s">
        <v>198</v>
      </c>
      <c r="M242" t="s">
        <v>263</v>
      </c>
      <c r="N242" t="s">
        <v>58</v>
      </c>
      <c r="O242" t="s">
        <v>163</v>
      </c>
      <c r="P242" t="s">
        <v>39</v>
      </c>
      <c r="Q242" t="s">
        <v>181</v>
      </c>
      <c r="R242" s="3" t="str">
        <f>HYPERLINK("..\..\Imagery\ScannedGeochron\UPb\Gowe2008Fig7e.jpg")</f>
        <v>..\..\Imagery\ScannedGeochron\UPb\Gowe2008Fig7e.jpg</v>
      </c>
    </row>
    <row r="243" spans="1:19" x14ac:dyDescent="0.25">
      <c r="A243" t="s">
        <v>870</v>
      </c>
      <c r="B243" t="s">
        <v>870</v>
      </c>
      <c r="C243" t="s">
        <v>21</v>
      </c>
      <c r="D243">
        <v>348549</v>
      </c>
      <c r="E243">
        <v>5778559</v>
      </c>
      <c r="F243">
        <v>21</v>
      </c>
      <c r="G243" t="s">
        <v>22</v>
      </c>
      <c r="I243" t="s">
        <v>871</v>
      </c>
      <c r="J243" t="s">
        <v>915</v>
      </c>
      <c r="K243">
        <v>988</v>
      </c>
      <c r="L243" t="s">
        <v>198</v>
      </c>
      <c r="M243" t="s">
        <v>263</v>
      </c>
      <c r="N243" t="s">
        <v>58</v>
      </c>
      <c r="O243" t="s">
        <v>105</v>
      </c>
      <c r="P243" t="s">
        <v>39</v>
      </c>
      <c r="Q243" t="s">
        <v>181</v>
      </c>
      <c r="R243" s="3" t="str">
        <f>HYPERLINK("..\..\Imagery\ScannedGeochron\UPb\Gowe2008Fig7e.jpg")</f>
        <v>..\..\Imagery\ScannedGeochron\UPb\Gowe2008Fig7e.jpg</v>
      </c>
    </row>
    <row r="244" spans="1:19" x14ac:dyDescent="0.25">
      <c r="A244" t="s">
        <v>916</v>
      </c>
      <c r="B244" t="s">
        <v>917</v>
      </c>
      <c r="C244" t="s">
        <v>21</v>
      </c>
      <c r="D244">
        <v>520526</v>
      </c>
      <c r="E244">
        <v>5716234</v>
      </c>
      <c r="F244">
        <v>21</v>
      </c>
      <c r="G244" t="s">
        <v>22</v>
      </c>
      <c r="I244" t="s">
        <v>918</v>
      </c>
      <c r="J244" t="s">
        <v>919</v>
      </c>
      <c r="K244">
        <v>1500</v>
      </c>
      <c r="L244" t="s">
        <v>198</v>
      </c>
      <c r="M244" t="s">
        <v>36</v>
      </c>
      <c r="N244" t="s">
        <v>28</v>
      </c>
      <c r="O244" t="s">
        <v>497</v>
      </c>
      <c r="P244" t="s">
        <v>30</v>
      </c>
      <c r="Q244" t="s">
        <v>200</v>
      </c>
      <c r="R244" s="3" t="str">
        <f>HYPERLINK("..\..\Imagery\ScannedGeochron\UPb\Heam2004Fig4c.jpg")</f>
        <v>..\..\Imagery\ScannedGeochron\UPb\Heam2004Fig4c.jpg</v>
      </c>
      <c r="S244" t="s">
        <v>920</v>
      </c>
    </row>
    <row r="245" spans="1:19" x14ac:dyDescent="0.25">
      <c r="A245" t="s">
        <v>916</v>
      </c>
      <c r="B245" t="s">
        <v>917</v>
      </c>
      <c r="C245" t="s">
        <v>21</v>
      </c>
      <c r="D245">
        <v>520526</v>
      </c>
      <c r="E245">
        <v>5716234</v>
      </c>
      <c r="F245">
        <v>21</v>
      </c>
      <c r="G245" t="s">
        <v>22</v>
      </c>
      <c r="I245" t="s">
        <v>918</v>
      </c>
      <c r="J245" t="s">
        <v>921</v>
      </c>
      <c r="K245">
        <v>970</v>
      </c>
      <c r="L245" t="s">
        <v>198</v>
      </c>
      <c r="M245" t="s">
        <v>36</v>
      </c>
      <c r="N245" t="s">
        <v>320</v>
      </c>
      <c r="O245" t="s">
        <v>497</v>
      </c>
      <c r="P245" t="s">
        <v>39</v>
      </c>
      <c r="Q245" t="s">
        <v>200</v>
      </c>
      <c r="R245" s="3" t="str">
        <f>HYPERLINK("..\..\Imagery\ScannedGeochron\UPb\Heam2004Fig4c.jpg")</f>
        <v>..\..\Imagery\ScannedGeochron\UPb\Heam2004Fig4c.jpg</v>
      </c>
      <c r="S245" t="s">
        <v>920</v>
      </c>
    </row>
    <row r="246" spans="1:19" x14ac:dyDescent="0.25">
      <c r="A246" t="s">
        <v>922</v>
      </c>
      <c r="B246" t="s">
        <v>922</v>
      </c>
      <c r="C246" t="s">
        <v>21</v>
      </c>
      <c r="D246">
        <v>516400</v>
      </c>
      <c r="E246">
        <v>5711680</v>
      </c>
      <c r="F246">
        <v>21</v>
      </c>
      <c r="G246" t="s">
        <v>22</v>
      </c>
      <c r="I246" t="s">
        <v>923</v>
      </c>
      <c r="J246" t="s">
        <v>924</v>
      </c>
      <c r="K246">
        <v>1467</v>
      </c>
      <c r="L246" t="s">
        <v>198</v>
      </c>
      <c r="M246" t="s">
        <v>36</v>
      </c>
      <c r="N246" t="s">
        <v>28</v>
      </c>
      <c r="O246" t="s">
        <v>925</v>
      </c>
      <c r="P246" t="s">
        <v>30</v>
      </c>
      <c r="Q246" t="s">
        <v>200</v>
      </c>
      <c r="R246" s="3" t="str">
        <f>HYPERLINK("..\..\Imagery\ScannedGeochron\UPb\Heam2004Fig4d.jpg")</f>
        <v>..\..\Imagery\ScannedGeochron\UPb\Heam2004Fig4d.jpg</v>
      </c>
      <c r="S246" t="s">
        <v>926</v>
      </c>
    </row>
    <row r="247" spans="1:19" x14ac:dyDescent="0.25">
      <c r="A247" t="s">
        <v>194</v>
      </c>
      <c r="B247" t="s">
        <v>195</v>
      </c>
      <c r="C247" t="s">
        <v>21</v>
      </c>
      <c r="D247">
        <v>519941</v>
      </c>
      <c r="E247">
        <v>5719704</v>
      </c>
      <c r="F247">
        <v>21</v>
      </c>
      <c r="G247" t="s">
        <v>22</v>
      </c>
      <c r="I247" t="s">
        <v>196</v>
      </c>
      <c r="J247" t="s">
        <v>927</v>
      </c>
      <c r="K247">
        <v>847</v>
      </c>
      <c r="L247" t="s">
        <v>198</v>
      </c>
      <c r="M247" t="s">
        <v>36</v>
      </c>
      <c r="N247" t="s">
        <v>320</v>
      </c>
      <c r="O247" t="s">
        <v>199</v>
      </c>
      <c r="P247" t="s">
        <v>212</v>
      </c>
      <c r="Q247" t="s">
        <v>200</v>
      </c>
      <c r="R247" s="3" t="str">
        <f>HYPERLINK("..\..\Imagery\ScannedGeochron\UPb\Heam2004Fig4e.jpg")</f>
        <v>..\..\Imagery\ScannedGeochron\UPb\Heam2004Fig4e.jpg</v>
      </c>
      <c r="S247" t="s">
        <v>928</v>
      </c>
    </row>
    <row r="248" spans="1:19" x14ac:dyDescent="0.25">
      <c r="A248" t="s">
        <v>194</v>
      </c>
      <c r="B248" t="s">
        <v>195</v>
      </c>
      <c r="C248" t="s">
        <v>21</v>
      </c>
      <c r="D248">
        <v>519941</v>
      </c>
      <c r="E248">
        <v>5719704</v>
      </c>
      <c r="F248">
        <v>21</v>
      </c>
      <c r="G248" t="s">
        <v>22</v>
      </c>
      <c r="I248" t="s">
        <v>196</v>
      </c>
      <c r="J248" t="s">
        <v>929</v>
      </c>
      <c r="K248">
        <v>960</v>
      </c>
      <c r="L248" t="s">
        <v>198</v>
      </c>
      <c r="M248" t="s">
        <v>930</v>
      </c>
      <c r="N248" t="s">
        <v>58</v>
      </c>
      <c r="O248" t="s">
        <v>931</v>
      </c>
      <c r="P248" t="s">
        <v>39</v>
      </c>
      <c r="Q248" t="s">
        <v>200</v>
      </c>
      <c r="R248" s="3" t="str">
        <f>HYPERLINK("..\..\Imagery\ScannedGeochron\UPb\Heam2004Fig4e.jpg")</f>
        <v>..\..\Imagery\ScannedGeochron\UPb\Heam2004Fig4e.jpg</v>
      </c>
    </row>
    <row r="249" spans="1:19" x14ac:dyDescent="0.25">
      <c r="A249" t="s">
        <v>201</v>
      </c>
      <c r="B249" t="s">
        <v>932</v>
      </c>
      <c r="C249" t="s">
        <v>21</v>
      </c>
      <c r="D249">
        <v>528574</v>
      </c>
      <c r="E249">
        <v>5731649</v>
      </c>
      <c r="F249">
        <v>21</v>
      </c>
      <c r="G249" t="s">
        <v>22</v>
      </c>
      <c r="H249" t="s">
        <v>23</v>
      </c>
      <c r="I249" t="s">
        <v>474</v>
      </c>
      <c r="J249" t="s">
        <v>933</v>
      </c>
      <c r="K249">
        <v>1413</v>
      </c>
      <c r="L249" t="s">
        <v>198</v>
      </c>
      <c r="M249" t="s">
        <v>36</v>
      </c>
      <c r="N249" t="s">
        <v>28</v>
      </c>
      <c r="O249" t="s">
        <v>133</v>
      </c>
      <c r="P249" t="s">
        <v>97</v>
      </c>
      <c r="Q249" t="s">
        <v>200</v>
      </c>
      <c r="R249" s="3" t="str">
        <f>HYPERLINK("..\..\Imagery\ScannedGeochron\UPb\Heam2004Fig5ef.jpg")</f>
        <v>..\..\Imagery\ScannedGeochron\UPb\Heam2004Fig5ef.jpg</v>
      </c>
      <c r="S249" t="s">
        <v>477</v>
      </c>
    </row>
    <row r="250" spans="1:19" x14ac:dyDescent="0.25">
      <c r="A250" t="s">
        <v>201</v>
      </c>
      <c r="B250" t="s">
        <v>932</v>
      </c>
      <c r="C250" t="s">
        <v>21</v>
      </c>
      <c r="D250">
        <v>528574</v>
      </c>
      <c r="E250">
        <v>5731649</v>
      </c>
      <c r="F250">
        <v>21</v>
      </c>
      <c r="G250" t="s">
        <v>22</v>
      </c>
      <c r="H250" t="s">
        <v>23</v>
      </c>
      <c r="I250" t="s">
        <v>474</v>
      </c>
      <c r="J250" t="s">
        <v>934</v>
      </c>
      <c r="K250">
        <v>969</v>
      </c>
      <c r="L250" t="s">
        <v>198</v>
      </c>
      <c r="M250" t="s">
        <v>36</v>
      </c>
      <c r="N250" t="s">
        <v>320</v>
      </c>
      <c r="O250" t="s">
        <v>133</v>
      </c>
      <c r="P250" t="s">
        <v>30</v>
      </c>
      <c r="Q250" t="s">
        <v>174</v>
      </c>
      <c r="R250" s="3" t="str">
        <f>HYPERLINK("..\..\Imagery\ScannedGeochron\UPb\Heam2004Fig5ef.jpg")</f>
        <v>..\..\Imagery\ScannedGeochron\UPb\Heam2004Fig5ef.jpg</v>
      </c>
      <c r="S250" t="s">
        <v>477</v>
      </c>
    </row>
    <row r="251" spans="1:19" x14ac:dyDescent="0.25">
      <c r="A251" t="s">
        <v>99</v>
      </c>
      <c r="B251" t="s">
        <v>729</v>
      </c>
      <c r="C251" t="s">
        <v>21</v>
      </c>
      <c r="D251">
        <v>484461</v>
      </c>
      <c r="E251">
        <v>6033363</v>
      </c>
      <c r="F251">
        <v>21</v>
      </c>
      <c r="G251" t="s">
        <v>22</v>
      </c>
      <c r="H251" t="s">
        <v>23</v>
      </c>
      <c r="I251" t="s">
        <v>730</v>
      </c>
      <c r="J251" t="s">
        <v>935</v>
      </c>
      <c r="K251">
        <v>1030</v>
      </c>
      <c r="L251" t="s">
        <v>77</v>
      </c>
      <c r="M251" t="s">
        <v>103</v>
      </c>
      <c r="N251" t="s">
        <v>320</v>
      </c>
      <c r="O251" t="s">
        <v>321</v>
      </c>
      <c r="P251" t="s">
        <v>39</v>
      </c>
      <c r="Q251" t="s">
        <v>106</v>
      </c>
      <c r="R251" s="3" t="str">
        <f>HYPERLINK("..\..\Imagery\ScannedGeochron\UPb\Krog2002Fig4a.jpg")</f>
        <v>..\..\Imagery\ScannedGeochron\UPb\Krog2002Fig4a.jpg</v>
      </c>
      <c r="S251" t="s">
        <v>936</v>
      </c>
    </row>
    <row r="252" spans="1:19" x14ac:dyDescent="0.25">
      <c r="A252" t="s">
        <v>648</v>
      </c>
      <c r="B252" t="s">
        <v>649</v>
      </c>
      <c r="C252" t="s">
        <v>21</v>
      </c>
      <c r="D252">
        <v>407922</v>
      </c>
      <c r="E252">
        <v>6005898</v>
      </c>
      <c r="F252">
        <v>21</v>
      </c>
      <c r="G252" t="s">
        <v>22</v>
      </c>
      <c r="I252" t="s">
        <v>650</v>
      </c>
      <c r="J252" t="s">
        <v>937</v>
      </c>
      <c r="K252">
        <v>353</v>
      </c>
      <c r="L252" t="s">
        <v>69</v>
      </c>
      <c r="M252" t="s">
        <v>36</v>
      </c>
      <c r="N252" t="s">
        <v>320</v>
      </c>
      <c r="O252" t="s">
        <v>70</v>
      </c>
      <c r="P252" t="s">
        <v>212</v>
      </c>
      <c r="Q252" t="s">
        <v>71</v>
      </c>
      <c r="R252" s="3" t="str">
        <f>HYPERLINK("..\..\Imagery\ScannedGeochron\UPb\Corr2000Fig5b.jpg")</f>
        <v>..\..\Imagery\ScannedGeochron\UPb\Corr2000Fig5b.jpg</v>
      </c>
      <c r="S252" t="s">
        <v>938</v>
      </c>
    </row>
    <row r="253" spans="1:19" x14ac:dyDescent="0.25">
      <c r="A253" t="s">
        <v>573</v>
      </c>
      <c r="B253" t="s">
        <v>574</v>
      </c>
      <c r="C253" t="s">
        <v>21</v>
      </c>
      <c r="D253">
        <v>416845</v>
      </c>
      <c r="E253">
        <v>6011177</v>
      </c>
      <c r="F253">
        <v>21</v>
      </c>
      <c r="G253" t="s">
        <v>22</v>
      </c>
      <c r="I253" t="s">
        <v>575</v>
      </c>
      <c r="J253" t="s">
        <v>939</v>
      </c>
      <c r="K253">
        <v>1120</v>
      </c>
      <c r="L253" t="s">
        <v>69</v>
      </c>
      <c r="M253" t="s">
        <v>577</v>
      </c>
      <c r="N253" t="s">
        <v>320</v>
      </c>
      <c r="O253" t="s">
        <v>578</v>
      </c>
      <c r="P253" t="s">
        <v>39</v>
      </c>
      <c r="Q253" t="s">
        <v>71</v>
      </c>
      <c r="R253" s="3" t="str">
        <f>HYPERLINK("..\..\Imagery\ScannedGeochron\UPb\Corr2000Fig10.jpg")</f>
        <v>..\..\Imagery\ScannedGeochron\UPb\Corr2000Fig10.jpg</v>
      </c>
      <c r="S253" t="s">
        <v>579</v>
      </c>
    </row>
    <row r="254" spans="1:19" x14ac:dyDescent="0.25">
      <c r="A254" t="s">
        <v>940</v>
      </c>
      <c r="B254" t="s">
        <v>941</v>
      </c>
      <c r="C254" t="s">
        <v>21</v>
      </c>
      <c r="D254">
        <v>417006</v>
      </c>
      <c r="E254">
        <v>6011218</v>
      </c>
      <c r="F254">
        <v>21</v>
      </c>
      <c r="G254" t="s">
        <v>22</v>
      </c>
      <c r="I254" t="s">
        <v>942</v>
      </c>
      <c r="J254" t="s">
        <v>943</v>
      </c>
      <c r="K254">
        <v>1610</v>
      </c>
      <c r="L254" t="s">
        <v>69</v>
      </c>
      <c r="M254" t="s">
        <v>263</v>
      </c>
      <c r="N254" t="s">
        <v>104</v>
      </c>
      <c r="O254" t="s">
        <v>944</v>
      </c>
      <c r="P254" t="s">
        <v>39</v>
      </c>
      <c r="Q254" t="s">
        <v>71</v>
      </c>
      <c r="R254" s="3" t="str">
        <f>HYPERLINK("..\..\Imagery\ScannedGeochron\UPb\Corr2000Fig11b.jpg")</f>
        <v>..\..\Imagery\ScannedGeochron\UPb\Corr2000Fig11b.jpg</v>
      </c>
    </row>
    <row r="255" spans="1:19" x14ac:dyDescent="0.25">
      <c r="A255" t="s">
        <v>945</v>
      </c>
      <c r="B255" t="s">
        <v>946</v>
      </c>
      <c r="C255" t="s">
        <v>21</v>
      </c>
      <c r="D255">
        <v>374536</v>
      </c>
      <c r="E255">
        <v>5971770</v>
      </c>
      <c r="F255">
        <v>21</v>
      </c>
      <c r="G255" t="s">
        <v>22</v>
      </c>
      <c r="I255" t="s">
        <v>947</v>
      </c>
      <c r="J255" t="s">
        <v>948</v>
      </c>
      <c r="K255">
        <v>1013</v>
      </c>
      <c r="L255" t="s">
        <v>69</v>
      </c>
      <c r="M255" t="s">
        <v>263</v>
      </c>
      <c r="N255" t="s">
        <v>58</v>
      </c>
      <c r="O255" t="s">
        <v>949</v>
      </c>
      <c r="P255" t="s">
        <v>39</v>
      </c>
      <c r="Q255" t="s">
        <v>71</v>
      </c>
      <c r="R255" s="3" t="str">
        <f>HYPERLINK("..\..\Imagery\ScannedGeochron\UPb\Corr2000Fig11d.jpg")</f>
        <v>..\..\Imagery\ScannedGeochron\UPb\Corr2000Fig11d.jpg</v>
      </c>
    </row>
    <row r="256" spans="1:19" x14ac:dyDescent="0.25">
      <c r="A256" t="s">
        <v>950</v>
      </c>
      <c r="B256" t="s">
        <v>951</v>
      </c>
      <c r="C256" t="s">
        <v>952</v>
      </c>
      <c r="D256">
        <v>482579</v>
      </c>
      <c r="E256">
        <v>5705449</v>
      </c>
      <c r="F256">
        <v>21</v>
      </c>
      <c r="G256" t="s">
        <v>22</v>
      </c>
      <c r="I256" t="s">
        <v>953</v>
      </c>
      <c r="J256" t="s">
        <v>954</v>
      </c>
      <c r="K256">
        <v>1632</v>
      </c>
      <c r="L256" t="s">
        <v>198</v>
      </c>
      <c r="M256" t="s">
        <v>36</v>
      </c>
      <c r="N256" t="s">
        <v>28</v>
      </c>
      <c r="O256" t="s">
        <v>160</v>
      </c>
      <c r="P256" t="s">
        <v>30</v>
      </c>
      <c r="Q256" t="s">
        <v>200</v>
      </c>
      <c r="R256" s="3" t="str">
        <f>HYPERLINK("..\..\Imagery\ScannedGeochron\UPb\Heam2004Fig3a.jpg")</f>
        <v>..\..\Imagery\ScannedGeochron\UPb\Heam2004Fig3a.jpg</v>
      </c>
    </row>
    <row r="257" spans="1:19" x14ac:dyDescent="0.25">
      <c r="A257" t="s">
        <v>955</v>
      </c>
      <c r="B257" t="s">
        <v>956</v>
      </c>
      <c r="C257" t="s">
        <v>952</v>
      </c>
      <c r="D257">
        <v>451766</v>
      </c>
      <c r="E257">
        <v>5702298</v>
      </c>
      <c r="F257">
        <v>21</v>
      </c>
      <c r="G257" t="s">
        <v>22</v>
      </c>
      <c r="I257" t="s">
        <v>957</v>
      </c>
      <c r="J257" t="s">
        <v>958</v>
      </c>
      <c r="K257">
        <v>1504</v>
      </c>
      <c r="L257" t="s">
        <v>198</v>
      </c>
      <c r="M257" t="s">
        <v>36</v>
      </c>
      <c r="N257" t="s">
        <v>28</v>
      </c>
      <c r="O257" t="s">
        <v>339</v>
      </c>
      <c r="P257" t="s">
        <v>30</v>
      </c>
      <c r="Q257" t="s">
        <v>200</v>
      </c>
      <c r="R257" s="3" t="str">
        <f>HYPERLINK("..\..\Imagery\ScannedGeochron\UPb\Heam2004Fig4a.jpg")</f>
        <v>..\..\Imagery\ScannedGeochron\UPb\Heam2004Fig4a.jpg</v>
      </c>
      <c r="S257" t="s">
        <v>959</v>
      </c>
    </row>
    <row r="258" spans="1:19" x14ac:dyDescent="0.25">
      <c r="A258" t="s">
        <v>960</v>
      </c>
      <c r="B258" t="s">
        <v>960</v>
      </c>
      <c r="C258" t="s">
        <v>21</v>
      </c>
      <c r="D258">
        <v>576704</v>
      </c>
      <c r="E258">
        <v>5807120</v>
      </c>
      <c r="F258">
        <v>21</v>
      </c>
      <c r="G258" t="s">
        <v>22</v>
      </c>
      <c r="I258" t="s">
        <v>961</v>
      </c>
      <c r="J258" t="s">
        <v>962</v>
      </c>
      <c r="K258">
        <v>1256</v>
      </c>
      <c r="L258" t="s">
        <v>69</v>
      </c>
      <c r="M258" t="s">
        <v>36</v>
      </c>
      <c r="N258" t="s">
        <v>58</v>
      </c>
      <c r="O258" t="s">
        <v>963</v>
      </c>
      <c r="P258" t="s">
        <v>30</v>
      </c>
      <c r="Q258" t="s">
        <v>964</v>
      </c>
      <c r="S258" t="s">
        <v>965</v>
      </c>
    </row>
    <row r="259" spans="1:19" x14ac:dyDescent="0.25">
      <c r="A259" t="s">
        <v>966</v>
      </c>
      <c r="B259" t="s">
        <v>966</v>
      </c>
      <c r="C259" t="s">
        <v>21</v>
      </c>
      <c r="D259">
        <v>576704</v>
      </c>
      <c r="E259">
        <v>5807120</v>
      </c>
      <c r="F259">
        <v>21</v>
      </c>
      <c r="G259" t="s">
        <v>22</v>
      </c>
      <c r="I259" t="s">
        <v>961</v>
      </c>
      <c r="J259" t="s">
        <v>967</v>
      </c>
      <c r="K259">
        <v>1047</v>
      </c>
      <c r="L259" t="s">
        <v>69</v>
      </c>
      <c r="M259" t="s">
        <v>36</v>
      </c>
      <c r="N259" t="s">
        <v>58</v>
      </c>
      <c r="O259" t="s">
        <v>968</v>
      </c>
      <c r="P259" t="s">
        <v>39</v>
      </c>
      <c r="Q259" t="s">
        <v>964</v>
      </c>
      <c r="S259" t="s">
        <v>965</v>
      </c>
    </row>
    <row r="260" spans="1:19" x14ac:dyDescent="0.25">
      <c r="A260" t="s">
        <v>969</v>
      </c>
      <c r="B260" t="s">
        <v>969</v>
      </c>
      <c r="C260" t="s">
        <v>21</v>
      </c>
      <c r="D260">
        <v>345233</v>
      </c>
      <c r="E260">
        <v>6041024</v>
      </c>
      <c r="F260">
        <v>21</v>
      </c>
      <c r="G260" t="s">
        <v>22</v>
      </c>
      <c r="I260" t="s">
        <v>75</v>
      </c>
      <c r="J260" t="s">
        <v>970</v>
      </c>
      <c r="K260">
        <v>1437</v>
      </c>
      <c r="L260" t="s">
        <v>77</v>
      </c>
      <c r="M260" t="s">
        <v>971</v>
      </c>
      <c r="N260" t="s">
        <v>58</v>
      </c>
      <c r="O260" t="s">
        <v>972</v>
      </c>
      <c r="P260" t="s">
        <v>30</v>
      </c>
      <c r="Q260" t="s">
        <v>973</v>
      </c>
    </row>
    <row r="261" spans="1:19" x14ac:dyDescent="0.25">
      <c r="A261" t="s">
        <v>969</v>
      </c>
      <c r="B261" t="s">
        <v>969</v>
      </c>
      <c r="C261" t="s">
        <v>21</v>
      </c>
      <c r="D261">
        <v>345233</v>
      </c>
      <c r="E261">
        <v>6041024</v>
      </c>
      <c r="F261">
        <v>21</v>
      </c>
      <c r="G261" t="s">
        <v>22</v>
      </c>
      <c r="I261" t="s">
        <v>75</v>
      </c>
      <c r="J261" t="s">
        <v>974</v>
      </c>
      <c r="K261">
        <v>709</v>
      </c>
      <c r="L261" t="s">
        <v>77</v>
      </c>
      <c r="M261" t="s">
        <v>971</v>
      </c>
      <c r="N261" t="s">
        <v>320</v>
      </c>
      <c r="O261" t="s">
        <v>972</v>
      </c>
      <c r="P261" t="s">
        <v>359</v>
      </c>
      <c r="Q261" t="s">
        <v>973</v>
      </c>
    </row>
    <row r="262" spans="1:19" x14ac:dyDescent="0.25">
      <c r="A262" t="s">
        <v>975</v>
      </c>
      <c r="B262" t="s">
        <v>975</v>
      </c>
      <c r="C262" t="s">
        <v>21</v>
      </c>
      <c r="D262">
        <v>579983</v>
      </c>
      <c r="E262">
        <v>5805598</v>
      </c>
      <c r="F262">
        <v>21</v>
      </c>
      <c r="G262" t="s">
        <v>22</v>
      </c>
      <c r="I262" t="s">
        <v>976</v>
      </c>
      <c r="J262" t="s">
        <v>977</v>
      </c>
      <c r="K262">
        <v>1297</v>
      </c>
      <c r="L262" t="s">
        <v>69</v>
      </c>
      <c r="M262" t="s">
        <v>36</v>
      </c>
      <c r="N262" t="s">
        <v>58</v>
      </c>
      <c r="O262" t="s">
        <v>978</v>
      </c>
      <c r="P262" t="s">
        <v>30</v>
      </c>
      <c r="Q262" t="s">
        <v>964</v>
      </c>
      <c r="S262" t="s">
        <v>965</v>
      </c>
    </row>
    <row r="263" spans="1:19" x14ac:dyDescent="0.25">
      <c r="A263" t="s">
        <v>979</v>
      </c>
      <c r="B263" t="s">
        <v>979</v>
      </c>
      <c r="C263" t="s">
        <v>21</v>
      </c>
      <c r="D263">
        <v>580739</v>
      </c>
      <c r="E263">
        <v>5805858</v>
      </c>
      <c r="F263">
        <v>21</v>
      </c>
      <c r="G263" t="s">
        <v>22</v>
      </c>
      <c r="I263" t="s">
        <v>980</v>
      </c>
      <c r="J263" t="s">
        <v>981</v>
      </c>
      <c r="K263">
        <v>1018</v>
      </c>
      <c r="L263" t="s">
        <v>69</v>
      </c>
      <c r="M263" t="s">
        <v>36</v>
      </c>
      <c r="N263" t="s">
        <v>58</v>
      </c>
      <c r="O263" t="s">
        <v>982</v>
      </c>
      <c r="P263" t="s">
        <v>39</v>
      </c>
      <c r="Q263" t="s">
        <v>964</v>
      </c>
      <c r="S263" t="s">
        <v>965</v>
      </c>
    </row>
    <row r="264" spans="1:19" x14ac:dyDescent="0.25">
      <c r="A264" t="s">
        <v>983</v>
      </c>
      <c r="B264" t="s">
        <v>983</v>
      </c>
      <c r="C264" t="s">
        <v>21</v>
      </c>
      <c r="D264">
        <v>579656</v>
      </c>
      <c r="E264">
        <v>5805989</v>
      </c>
      <c r="F264">
        <v>21</v>
      </c>
      <c r="G264" t="s">
        <v>22</v>
      </c>
      <c r="I264" t="s">
        <v>984</v>
      </c>
      <c r="J264" t="s">
        <v>985</v>
      </c>
      <c r="K264">
        <v>1346</v>
      </c>
      <c r="L264" t="s">
        <v>69</v>
      </c>
      <c r="M264" t="s">
        <v>36</v>
      </c>
      <c r="N264" t="s">
        <v>986</v>
      </c>
      <c r="O264" t="s">
        <v>987</v>
      </c>
      <c r="P264" t="s">
        <v>97</v>
      </c>
      <c r="Q264" t="s">
        <v>964</v>
      </c>
      <c r="S264" t="s">
        <v>965</v>
      </c>
    </row>
    <row r="265" spans="1:19" x14ac:dyDescent="0.25">
      <c r="A265" t="s">
        <v>988</v>
      </c>
      <c r="B265" t="s">
        <v>988</v>
      </c>
      <c r="C265" t="s">
        <v>21</v>
      </c>
      <c r="D265">
        <v>579695</v>
      </c>
      <c r="E265">
        <v>5805901</v>
      </c>
      <c r="F265">
        <v>21</v>
      </c>
      <c r="G265" t="s">
        <v>22</v>
      </c>
      <c r="I265" t="s">
        <v>984</v>
      </c>
      <c r="J265" t="s">
        <v>989</v>
      </c>
      <c r="K265">
        <v>1250</v>
      </c>
      <c r="L265" t="s">
        <v>69</v>
      </c>
      <c r="M265" t="s">
        <v>36</v>
      </c>
      <c r="N265" t="s">
        <v>58</v>
      </c>
      <c r="O265" t="s">
        <v>990</v>
      </c>
      <c r="P265" t="s">
        <v>30</v>
      </c>
      <c r="Q265" t="s">
        <v>964</v>
      </c>
      <c r="S265" t="s">
        <v>965</v>
      </c>
    </row>
    <row r="266" spans="1:19" x14ac:dyDescent="0.25">
      <c r="A266" t="s">
        <v>975</v>
      </c>
      <c r="B266" t="s">
        <v>975</v>
      </c>
      <c r="C266" t="s">
        <v>21</v>
      </c>
      <c r="D266">
        <v>579983</v>
      </c>
      <c r="E266">
        <v>5805598</v>
      </c>
      <c r="F266">
        <v>21</v>
      </c>
      <c r="G266" t="s">
        <v>22</v>
      </c>
      <c r="I266" t="s">
        <v>976</v>
      </c>
      <c r="J266" t="s">
        <v>991</v>
      </c>
      <c r="K266">
        <v>1300</v>
      </c>
      <c r="L266" t="s">
        <v>69</v>
      </c>
      <c r="M266" t="s">
        <v>36</v>
      </c>
      <c r="N266" t="s">
        <v>58</v>
      </c>
      <c r="O266" t="s">
        <v>992</v>
      </c>
      <c r="P266" t="s">
        <v>30</v>
      </c>
      <c r="Q266" t="s">
        <v>964</v>
      </c>
      <c r="S266" t="s">
        <v>993</v>
      </c>
    </row>
    <row r="267" spans="1:19" x14ac:dyDescent="0.25">
      <c r="A267" t="s">
        <v>988</v>
      </c>
      <c r="B267" t="s">
        <v>988</v>
      </c>
      <c r="C267" t="s">
        <v>21</v>
      </c>
      <c r="D267">
        <v>579695</v>
      </c>
      <c r="E267">
        <v>5805901</v>
      </c>
      <c r="F267">
        <v>21</v>
      </c>
      <c r="G267" t="s">
        <v>22</v>
      </c>
      <c r="I267" t="s">
        <v>984</v>
      </c>
      <c r="J267" t="s">
        <v>994</v>
      </c>
      <c r="K267">
        <v>1388</v>
      </c>
      <c r="L267" t="s">
        <v>69</v>
      </c>
      <c r="M267" t="s">
        <v>36</v>
      </c>
      <c r="N267" t="s">
        <v>58</v>
      </c>
      <c r="O267" t="s">
        <v>995</v>
      </c>
      <c r="P267" t="s">
        <v>97</v>
      </c>
      <c r="Q267" t="s">
        <v>964</v>
      </c>
      <c r="S267" t="s">
        <v>965</v>
      </c>
    </row>
    <row r="268" spans="1:19" x14ac:dyDescent="0.25">
      <c r="A268" t="s">
        <v>988</v>
      </c>
      <c r="B268" t="s">
        <v>988</v>
      </c>
      <c r="C268" t="s">
        <v>21</v>
      </c>
      <c r="D268">
        <v>579695</v>
      </c>
      <c r="E268">
        <v>5805901</v>
      </c>
      <c r="F268">
        <v>21</v>
      </c>
      <c r="G268" t="s">
        <v>22</v>
      </c>
      <c r="I268" t="s">
        <v>984</v>
      </c>
      <c r="J268" t="s">
        <v>996</v>
      </c>
      <c r="K268">
        <v>1140</v>
      </c>
      <c r="L268" t="s">
        <v>69</v>
      </c>
      <c r="M268" t="s">
        <v>36</v>
      </c>
      <c r="N268" t="s">
        <v>58</v>
      </c>
      <c r="O268" t="s">
        <v>995</v>
      </c>
      <c r="P268" t="s">
        <v>39</v>
      </c>
      <c r="Q268" t="s">
        <v>964</v>
      </c>
      <c r="S268" t="s">
        <v>965</v>
      </c>
    </row>
    <row r="269" spans="1:19" x14ac:dyDescent="0.25">
      <c r="A269" t="s">
        <v>988</v>
      </c>
      <c r="B269" t="s">
        <v>988</v>
      </c>
      <c r="C269" t="s">
        <v>21</v>
      </c>
      <c r="D269">
        <v>579695</v>
      </c>
      <c r="E269">
        <v>5805901</v>
      </c>
      <c r="F269">
        <v>21</v>
      </c>
      <c r="G269" t="s">
        <v>22</v>
      </c>
      <c r="I269" t="s">
        <v>984</v>
      </c>
      <c r="J269" t="s">
        <v>997</v>
      </c>
      <c r="K269">
        <v>1031</v>
      </c>
      <c r="L269" t="s">
        <v>69</v>
      </c>
      <c r="M269" t="s">
        <v>36</v>
      </c>
      <c r="N269" t="s">
        <v>58</v>
      </c>
      <c r="O269" t="s">
        <v>995</v>
      </c>
      <c r="P269" t="s">
        <v>39</v>
      </c>
      <c r="Q269" t="s">
        <v>964</v>
      </c>
      <c r="S269" t="s">
        <v>965</v>
      </c>
    </row>
    <row r="270" spans="1:19" x14ac:dyDescent="0.25">
      <c r="A270" t="s">
        <v>960</v>
      </c>
      <c r="B270" t="s">
        <v>960</v>
      </c>
      <c r="C270" t="s">
        <v>21</v>
      </c>
      <c r="D270">
        <v>576704</v>
      </c>
      <c r="E270">
        <v>5807120</v>
      </c>
      <c r="F270">
        <v>21</v>
      </c>
      <c r="G270" t="s">
        <v>22</v>
      </c>
      <c r="I270" t="s">
        <v>961</v>
      </c>
      <c r="J270" t="s">
        <v>998</v>
      </c>
      <c r="K270">
        <v>1050</v>
      </c>
      <c r="L270" t="s">
        <v>69</v>
      </c>
      <c r="M270" t="s">
        <v>36</v>
      </c>
      <c r="N270" t="s">
        <v>58</v>
      </c>
      <c r="O270" t="s">
        <v>963</v>
      </c>
      <c r="P270" t="s">
        <v>39</v>
      </c>
      <c r="Q270" t="s">
        <v>964</v>
      </c>
      <c r="S270" t="s">
        <v>965</v>
      </c>
    </row>
    <row r="271" spans="1:19" x14ac:dyDescent="0.25">
      <c r="A271" t="s">
        <v>960</v>
      </c>
      <c r="B271" t="s">
        <v>960</v>
      </c>
      <c r="C271" t="s">
        <v>21</v>
      </c>
      <c r="D271">
        <v>576704</v>
      </c>
      <c r="E271">
        <v>5807120</v>
      </c>
      <c r="F271">
        <v>21</v>
      </c>
      <c r="G271" t="s">
        <v>22</v>
      </c>
      <c r="I271" t="s">
        <v>961</v>
      </c>
      <c r="J271" t="s">
        <v>999</v>
      </c>
      <c r="K271">
        <v>1410</v>
      </c>
      <c r="L271" t="s">
        <v>69</v>
      </c>
      <c r="M271" t="s">
        <v>36</v>
      </c>
      <c r="N271" t="s">
        <v>58</v>
      </c>
      <c r="O271" t="s">
        <v>995</v>
      </c>
      <c r="P271" t="s">
        <v>97</v>
      </c>
      <c r="Q271" t="s">
        <v>964</v>
      </c>
      <c r="S271" t="s">
        <v>965</v>
      </c>
    </row>
    <row r="272" spans="1:19" x14ac:dyDescent="0.25">
      <c r="A272" t="s">
        <v>1000</v>
      </c>
      <c r="B272" t="s">
        <v>1000</v>
      </c>
      <c r="C272" t="s">
        <v>21</v>
      </c>
      <c r="D272">
        <v>435249</v>
      </c>
      <c r="E272">
        <v>6085085</v>
      </c>
      <c r="F272">
        <v>21</v>
      </c>
      <c r="G272" t="s">
        <v>22</v>
      </c>
      <c r="I272" t="s">
        <v>1001</v>
      </c>
      <c r="J272" t="s">
        <v>1002</v>
      </c>
      <c r="K272">
        <v>1796</v>
      </c>
      <c r="L272" t="s">
        <v>1003</v>
      </c>
      <c r="M272" t="s">
        <v>103</v>
      </c>
      <c r="N272" t="s">
        <v>58</v>
      </c>
      <c r="O272" t="s">
        <v>1004</v>
      </c>
      <c r="P272" t="s">
        <v>1005</v>
      </c>
      <c r="Q272" t="s">
        <v>1006</v>
      </c>
      <c r="R272" s="3" t="str">
        <f>HYPERLINK("..\..\Imagery\ScannedGeochron\UPb\Ketc2002Fig5e.jpg")</f>
        <v>..\..\Imagery\ScannedGeochron\UPb\Ketc2002Fig5e.jpg</v>
      </c>
    </row>
    <row r="273" spans="1:19" x14ac:dyDescent="0.25">
      <c r="A273" t="s">
        <v>1007</v>
      </c>
      <c r="B273" t="s">
        <v>1007</v>
      </c>
      <c r="C273" t="s">
        <v>21</v>
      </c>
      <c r="D273">
        <v>596588</v>
      </c>
      <c r="E273">
        <v>5792084</v>
      </c>
      <c r="F273">
        <v>21</v>
      </c>
      <c r="G273" t="s">
        <v>22</v>
      </c>
      <c r="I273" t="s">
        <v>1008</v>
      </c>
      <c r="J273" t="s">
        <v>1009</v>
      </c>
      <c r="K273">
        <v>1017</v>
      </c>
      <c r="L273" t="s">
        <v>198</v>
      </c>
      <c r="M273" t="s">
        <v>36</v>
      </c>
      <c r="N273" t="s">
        <v>986</v>
      </c>
      <c r="O273" t="s">
        <v>1010</v>
      </c>
      <c r="P273" t="s">
        <v>30</v>
      </c>
      <c r="Q273" t="s">
        <v>1011</v>
      </c>
      <c r="S273" t="s">
        <v>1012</v>
      </c>
    </row>
    <row r="274" spans="1:19" x14ac:dyDescent="0.25">
      <c r="A274" t="s">
        <v>955</v>
      </c>
      <c r="B274" t="s">
        <v>1013</v>
      </c>
      <c r="C274" t="s">
        <v>952</v>
      </c>
      <c r="D274">
        <v>451766</v>
      </c>
      <c r="E274">
        <v>5702298</v>
      </c>
      <c r="F274">
        <v>21</v>
      </c>
      <c r="G274" t="s">
        <v>22</v>
      </c>
      <c r="I274" t="s">
        <v>1014</v>
      </c>
      <c r="J274" t="s">
        <v>1015</v>
      </c>
      <c r="K274">
        <v>1526</v>
      </c>
      <c r="L274" t="s">
        <v>198</v>
      </c>
      <c r="M274" t="s">
        <v>36</v>
      </c>
      <c r="N274" t="s">
        <v>28</v>
      </c>
      <c r="O274" t="s">
        <v>1016</v>
      </c>
      <c r="P274" t="s">
        <v>30</v>
      </c>
      <c r="Q274" t="s">
        <v>200</v>
      </c>
      <c r="R274" s="3" t="str">
        <f>HYPERLINK("..\..\Imagery\ScannedGeochron\UPb\Heam2004Fig4b.jpg")</f>
        <v>..\..\Imagery\ScannedGeochron\UPb\Heam2004Fig4b.jpg</v>
      </c>
    </row>
    <row r="275" spans="1:19" x14ac:dyDescent="0.25">
      <c r="A275" t="s">
        <v>1017</v>
      </c>
      <c r="B275" t="s">
        <v>1018</v>
      </c>
      <c r="C275" t="s">
        <v>952</v>
      </c>
      <c r="D275">
        <v>485555</v>
      </c>
      <c r="E275">
        <v>5695421</v>
      </c>
      <c r="F275">
        <v>21</v>
      </c>
      <c r="G275" t="s">
        <v>22</v>
      </c>
      <c r="I275" t="s">
        <v>1019</v>
      </c>
      <c r="J275" t="s">
        <v>1020</v>
      </c>
      <c r="K275">
        <v>1248</v>
      </c>
      <c r="L275" t="s">
        <v>198</v>
      </c>
      <c r="M275" t="s">
        <v>27</v>
      </c>
      <c r="N275" t="s">
        <v>28</v>
      </c>
      <c r="O275" t="s">
        <v>133</v>
      </c>
      <c r="P275" t="s">
        <v>30</v>
      </c>
      <c r="Q275" t="s">
        <v>200</v>
      </c>
      <c r="R275" s="3" t="str">
        <f>HYPERLINK("..\..\Imagery\ScannedGeochron\UPb\Heam2004Fig4f.jpg")</f>
        <v>..\..\Imagery\ScannedGeochron\UPb\Heam2004Fig4f.jpg</v>
      </c>
    </row>
    <row r="276" spans="1:19" x14ac:dyDescent="0.25">
      <c r="A276" t="s">
        <v>1021</v>
      </c>
      <c r="B276" t="s">
        <v>1021</v>
      </c>
      <c r="C276" t="s">
        <v>952</v>
      </c>
      <c r="D276">
        <v>442300</v>
      </c>
      <c r="E276">
        <v>5700200</v>
      </c>
      <c r="F276">
        <v>21</v>
      </c>
      <c r="G276" t="s">
        <v>22</v>
      </c>
      <c r="I276" t="s">
        <v>1022</v>
      </c>
      <c r="J276" t="s">
        <v>1023</v>
      </c>
      <c r="K276">
        <v>975</v>
      </c>
      <c r="L276" t="s">
        <v>198</v>
      </c>
      <c r="M276" t="s">
        <v>36</v>
      </c>
      <c r="N276" t="s">
        <v>58</v>
      </c>
      <c r="O276" t="s">
        <v>1024</v>
      </c>
      <c r="P276" t="s">
        <v>30</v>
      </c>
      <c r="Q276" t="s">
        <v>200</v>
      </c>
      <c r="R276" s="3" t="str">
        <f>HYPERLINK("..\..\Imagery\ScannedGeochron\UPb\Heam2004Fig5d.jpg")</f>
        <v>..\..\Imagery\ScannedGeochron\UPb\Heam2004Fig5d.jpg</v>
      </c>
    </row>
    <row r="277" spans="1:19" x14ac:dyDescent="0.25">
      <c r="A277" t="s">
        <v>955</v>
      </c>
      <c r="B277" t="s">
        <v>1013</v>
      </c>
      <c r="C277" t="s">
        <v>952</v>
      </c>
      <c r="D277">
        <v>451766</v>
      </c>
      <c r="E277">
        <v>5702298</v>
      </c>
      <c r="F277">
        <v>21</v>
      </c>
      <c r="G277" t="s">
        <v>22</v>
      </c>
      <c r="I277" t="s">
        <v>1014</v>
      </c>
      <c r="J277" t="s">
        <v>1025</v>
      </c>
      <c r="K277">
        <v>999</v>
      </c>
      <c r="L277" t="s">
        <v>198</v>
      </c>
      <c r="M277" t="s">
        <v>36</v>
      </c>
      <c r="N277" t="s">
        <v>320</v>
      </c>
      <c r="O277" t="s">
        <v>1016</v>
      </c>
      <c r="P277" t="s">
        <v>39</v>
      </c>
      <c r="Q277" t="s">
        <v>200</v>
      </c>
      <c r="R277" s="3" t="str">
        <f>HYPERLINK("..\..\Imagery\ScannedGeochron\UPb\Heam2004Fig4b.jpg")</f>
        <v>..\..\Imagery\ScannedGeochron\UPb\Heam2004Fig4b.jpg</v>
      </c>
    </row>
    <row r="278" spans="1:19" x14ac:dyDescent="0.25">
      <c r="A278" t="s">
        <v>1017</v>
      </c>
      <c r="B278" t="s">
        <v>1018</v>
      </c>
      <c r="C278" t="s">
        <v>952</v>
      </c>
      <c r="D278">
        <v>485555</v>
      </c>
      <c r="E278">
        <v>5695421</v>
      </c>
      <c r="F278">
        <v>21</v>
      </c>
      <c r="G278" t="s">
        <v>22</v>
      </c>
      <c r="I278" t="s">
        <v>1019</v>
      </c>
      <c r="J278" t="s">
        <v>1026</v>
      </c>
      <c r="K278">
        <v>974</v>
      </c>
      <c r="L278" t="s">
        <v>198</v>
      </c>
      <c r="M278" t="s">
        <v>27</v>
      </c>
      <c r="N278" t="s">
        <v>320</v>
      </c>
      <c r="O278" t="s">
        <v>1027</v>
      </c>
      <c r="P278" t="s">
        <v>39</v>
      </c>
      <c r="Q278" t="s">
        <v>200</v>
      </c>
      <c r="R278" s="3" t="str">
        <f>HYPERLINK("..\..\Imagery\ScannedGeochron\UPb\Heam2004Fig4f.jpg")</f>
        <v>..\..\Imagery\ScannedGeochron\UPb\Heam2004Fig4f.jpg</v>
      </c>
    </row>
    <row r="279" spans="1:19" x14ac:dyDescent="0.25">
      <c r="A279" t="s">
        <v>1028</v>
      </c>
      <c r="B279" t="s">
        <v>1028</v>
      </c>
      <c r="C279" t="s">
        <v>21</v>
      </c>
      <c r="D279">
        <v>580000</v>
      </c>
      <c r="E279">
        <v>5801700</v>
      </c>
      <c r="F279">
        <v>21</v>
      </c>
      <c r="G279" t="s">
        <v>22</v>
      </c>
      <c r="I279" t="s">
        <v>1029</v>
      </c>
      <c r="J279" t="s">
        <v>1030</v>
      </c>
      <c r="K279">
        <v>1509</v>
      </c>
      <c r="L279" t="s">
        <v>198</v>
      </c>
      <c r="M279" t="s">
        <v>36</v>
      </c>
      <c r="N279" t="s">
        <v>320</v>
      </c>
      <c r="O279" t="s">
        <v>1031</v>
      </c>
      <c r="P279" t="s">
        <v>30</v>
      </c>
      <c r="Q279" t="s">
        <v>389</v>
      </c>
      <c r="R279" s="3" t="str">
        <f>HYPERLINK("..\..\Imagery\ScannedGeochron\UPb\Scot1993Fig3f.jpg")</f>
        <v>..\..\Imagery\ScannedGeochron\UPb\Scot1993Fig3f.jpg</v>
      </c>
    </row>
    <row r="280" spans="1:19" x14ac:dyDescent="0.25">
      <c r="A280" t="s">
        <v>585</v>
      </c>
      <c r="B280" t="s">
        <v>585</v>
      </c>
      <c r="C280" t="s">
        <v>21</v>
      </c>
      <c r="D280">
        <v>398951</v>
      </c>
      <c r="E280">
        <v>5835103</v>
      </c>
      <c r="F280">
        <v>21</v>
      </c>
      <c r="G280" t="s">
        <v>22</v>
      </c>
      <c r="I280" t="s">
        <v>586</v>
      </c>
      <c r="J280" t="s">
        <v>1032</v>
      </c>
      <c r="K280">
        <v>946</v>
      </c>
      <c r="L280" t="s">
        <v>198</v>
      </c>
      <c r="M280" t="s">
        <v>103</v>
      </c>
      <c r="N280" t="s">
        <v>58</v>
      </c>
      <c r="O280" t="s">
        <v>1033</v>
      </c>
      <c r="P280" t="s">
        <v>359</v>
      </c>
      <c r="Q280" t="s">
        <v>181</v>
      </c>
      <c r="R280" s="3" t="str">
        <f>HYPERLINK("..\..\Imagery\ScannedGeochron\UPb\Gowe2008Fig7h.jpg")</f>
        <v>..\..\Imagery\ScannedGeochron\UPb\Gowe2008Fig7h.jpg</v>
      </c>
      <c r="S280" t="s">
        <v>1034</v>
      </c>
    </row>
    <row r="281" spans="1:19" x14ac:dyDescent="0.25">
      <c r="A281" t="s">
        <v>580</v>
      </c>
      <c r="B281" t="s">
        <v>580</v>
      </c>
      <c r="C281" t="s">
        <v>21</v>
      </c>
      <c r="D281">
        <v>389799</v>
      </c>
      <c r="E281">
        <v>5845171</v>
      </c>
      <c r="F281">
        <v>21</v>
      </c>
      <c r="G281" t="s">
        <v>22</v>
      </c>
      <c r="I281" t="s">
        <v>581</v>
      </c>
      <c r="J281" t="s">
        <v>587</v>
      </c>
      <c r="K281">
        <v>951</v>
      </c>
      <c r="L281" t="s">
        <v>172</v>
      </c>
      <c r="M281" t="s">
        <v>103</v>
      </c>
      <c r="N281" t="s">
        <v>58</v>
      </c>
      <c r="O281" t="s">
        <v>1033</v>
      </c>
      <c r="P281" t="s">
        <v>359</v>
      </c>
      <c r="Q281" t="s">
        <v>181</v>
      </c>
      <c r="R281" s="3" t="str">
        <f>HYPERLINK("..\..\Imagery\ScannedGeochron\UPb\Gowe2008Fig7f.jpg")</f>
        <v>..\..\Imagery\ScannedGeochron\UPb\Gowe2008Fig7f.jpg</v>
      </c>
      <c r="S281" t="s">
        <v>1034</v>
      </c>
    </row>
    <row r="282" spans="1:19" x14ac:dyDescent="0.25">
      <c r="A282" t="s">
        <v>240</v>
      </c>
      <c r="B282" t="s">
        <v>241</v>
      </c>
      <c r="C282" t="s">
        <v>21</v>
      </c>
      <c r="D282">
        <v>416650</v>
      </c>
      <c r="E282">
        <v>5875024</v>
      </c>
      <c r="F282">
        <v>21</v>
      </c>
      <c r="G282" t="s">
        <v>22</v>
      </c>
      <c r="H282" t="s">
        <v>23</v>
      </c>
      <c r="I282" t="s">
        <v>242</v>
      </c>
      <c r="J282" t="s">
        <v>1035</v>
      </c>
      <c r="K282">
        <v>1902</v>
      </c>
      <c r="L282" t="s">
        <v>172</v>
      </c>
      <c r="M282" t="s">
        <v>36</v>
      </c>
      <c r="N282" t="s">
        <v>28</v>
      </c>
      <c r="O282" t="s">
        <v>339</v>
      </c>
      <c r="P282" t="s">
        <v>180</v>
      </c>
      <c r="Q282" t="s">
        <v>181</v>
      </c>
      <c r="R282" s="3" t="str">
        <f>HYPERLINK("..\..\Imagery\ScannedGeochron\UPb\Gowe2008Fig3a.jpg")</f>
        <v>..\..\Imagery\ScannedGeochron\UPb\Gowe2008Fig3a.jpg</v>
      </c>
      <c r="S282" t="s">
        <v>412</v>
      </c>
    </row>
    <row r="283" spans="1:19" x14ac:dyDescent="0.25">
      <c r="A283" t="s">
        <v>240</v>
      </c>
      <c r="B283" t="s">
        <v>241</v>
      </c>
      <c r="C283" t="s">
        <v>21</v>
      </c>
      <c r="D283">
        <v>416650</v>
      </c>
      <c r="E283">
        <v>5875024</v>
      </c>
      <c r="F283">
        <v>21</v>
      </c>
      <c r="G283" t="s">
        <v>22</v>
      </c>
      <c r="H283" t="s">
        <v>23</v>
      </c>
      <c r="I283" t="s">
        <v>242</v>
      </c>
      <c r="J283" t="s">
        <v>1036</v>
      </c>
      <c r="K283">
        <v>2606</v>
      </c>
      <c r="L283" t="s">
        <v>172</v>
      </c>
      <c r="M283" t="s">
        <v>36</v>
      </c>
      <c r="N283" t="s">
        <v>28</v>
      </c>
      <c r="O283" t="s">
        <v>163</v>
      </c>
      <c r="P283" t="s">
        <v>180</v>
      </c>
      <c r="Q283" t="s">
        <v>181</v>
      </c>
      <c r="R283" s="3" t="str">
        <f>HYPERLINK("..\..\Imagery\ScannedGeochron\UPb\Gowe2008Fig3a.jpg")</f>
        <v>..\..\Imagery\ScannedGeochron\UPb\Gowe2008Fig3a.jpg</v>
      </c>
      <c r="S283" t="s">
        <v>412</v>
      </c>
    </row>
    <row r="284" spans="1:19" x14ac:dyDescent="0.25">
      <c r="A284" t="s">
        <v>240</v>
      </c>
      <c r="B284" t="s">
        <v>627</v>
      </c>
      <c r="C284" t="s">
        <v>21</v>
      </c>
      <c r="D284">
        <v>416650</v>
      </c>
      <c r="E284">
        <v>5875024</v>
      </c>
      <c r="F284">
        <v>21</v>
      </c>
      <c r="G284" t="s">
        <v>22</v>
      </c>
      <c r="H284" t="s">
        <v>23</v>
      </c>
      <c r="I284" t="s">
        <v>628</v>
      </c>
      <c r="J284" t="s">
        <v>1037</v>
      </c>
      <c r="K284">
        <v>1082</v>
      </c>
      <c r="L284" t="s">
        <v>172</v>
      </c>
      <c r="M284" t="s">
        <v>36</v>
      </c>
      <c r="N284" t="s">
        <v>320</v>
      </c>
      <c r="O284" t="s">
        <v>630</v>
      </c>
      <c r="P284" t="s">
        <v>39</v>
      </c>
      <c r="Q284" t="s">
        <v>181</v>
      </c>
      <c r="R284" s="3" t="str">
        <f>HYPERLINK("..\..\Imagery\ScannedGeochron\UPb\Gowe2008Fig3a.jpg")</f>
        <v>..\..\Imagery\ScannedGeochron\UPb\Gowe2008Fig3a.jpg</v>
      </c>
      <c r="S284" t="s">
        <v>1038</v>
      </c>
    </row>
    <row r="285" spans="1:19" x14ac:dyDescent="0.25">
      <c r="A285" t="s">
        <v>310</v>
      </c>
      <c r="B285" t="s">
        <v>317</v>
      </c>
      <c r="C285" t="s">
        <v>21</v>
      </c>
      <c r="D285">
        <v>344444</v>
      </c>
      <c r="E285">
        <v>5836488</v>
      </c>
      <c r="F285">
        <v>21</v>
      </c>
      <c r="G285" t="s">
        <v>22</v>
      </c>
      <c r="H285" t="s">
        <v>23</v>
      </c>
      <c r="I285" t="s">
        <v>318</v>
      </c>
      <c r="J285" t="s">
        <v>1039</v>
      </c>
      <c r="K285">
        <v>1017</v>
      </c>
      <c r="L285" t="s">
        <v>172</v>
      </c>
      <c r="M285" t="s">
        <v>103</v>
      </c>
      <c r="N285" t="s">
        <v>28</v>
      </c>
      <c r="O285" t="s">
        <v>321</v>
      </c>
      <c r="P285" t="s">
        <v>39</v>
      </c>
      <c r="Q285" t="s">
        <v>181</v>
      </c>
      <c r="R285" s="3" t="str">
        <f>HYPERLINK("..\..\Imagery\ScannedGeochron\UPb\Gowe2008Fig4c.jpg")</f>
        <v>..\..\Imagery\ScannedGeochron\UPb\Gowe2008Fig4c.jpg</v>
      </c>
      <c r="S285" t="s">
        <v>1034</v>
      </c>
    </row>
    <row r="286" spans="1:19" x14ac:dyDescent="0.25">
      <c r="A286" t="s">
        <v>310</v>
      </c>
      <c r="B286" t="s">
        <v>317</v>
      </c>
      <c r="C286" t="s">
        <v>21</v>
      </c>
      <c r="D286">
        <v>344444</v>
      </c>
      <c r="E286">
        <v>5836488</v>
      </c>
      <c r="F286">
        <v>21</v>
      </c>
      <c r="G286" t="s">
        <v>22</v>
      </c>
      <c r="H286" t="s">
        <v>23</v>
      </c>
      <c r="I286" t="s">
        <v>318</v>
      </c>
      <c r="J286" t="s">
        <v>1040</v>
      </c>
      <c r="K286">
        <v>1621</v>
      </c>
      <c r="L286" t="s">
        <v>172</v>
      </c>
      <c r="M286" t="s">
        <v>36</v>
      </c>
      <c r="N286" t="s">
        <v>28</v>
      </c>
      <c r="O286" t="s">
        <v>105</v>
      </c>
      <c r="P286" t="s">
        <v>97</v>
      </c>
      <c r="Q286" t="s">
        <v>181</v>
      </c>
      <c r="R286" s="3" t="str">
        <f>HYPERLINK("..\..\Imagery\ScannedGeochron\UPb\Gowe2008Fig4c.jpg")</f>
        <v>..\..\Imagery\ScannedGeochron\UPb\Gowe2008Fig4c.jpg</v>
      </c>
      <c r="S286" t="s">
        <v>1041</v>
      </c>
    </row>
    <row r="287" spans="1:19" x14ac:dyDescent="0.25">
      <c r="A287" t="s">
        <v>327</v>
      </c>
      <c r="B287" t="s">
        <v>328</v>
      </c>
      <c r="C287" t="s">
        <v>21</v>
      </c>
      <c r="D287">
        <v>422605</v>
      </c>
      <c r="E287">
        <v>5774107</v>
      </c>
      <c r="F287">
        <v>21</v>
      </c>
      <c r="G287" t="s">
        <v>22</v>
      </c>
      <c r="H287" t="s">
        <v>23</v>
      </c>
      <c r="I287" t="s">
        <v>329</v>
      </c>
      <c r="J287" t="s">
        <v>1042</v>
      </c>
      <c r="K287">
        <v>962</v>
      </c>
      <c r="L287" t="s">
        <v>198</v>
      </c>
      <c r="M287" t="s">
        <v>103</v>
      </c>
      <c r="N287" t="s">
        <v>58</v>
      </c>
      <c r="O287" t="s">
        <v>166</v>
      </c>
      <c r="P287" t="s">
        <v>39</v>
      </c>
      <c r="Q287" t="s">
        <v>181</v>
      </c>
      <c r="R287" s="3" t="str">
        <f>HYPERLINK("..\..\Imagery\ScannedGeochron\UPb\Gowe2008Fig5c.jpg")</f>
        <v>..\..\Imagery\ScannedGeochron\UPb\Gowe2008Fig5c.jpg</v>
      </c>
      <c r="S287" t="s">
        <v>796</v>
      </c>
    </row>
    <row r="288" spans="1:19" x14ac:dyDescent="0.25">
      <c r="A288" t="s">
        <v>327</v>
      </c>
      <c r="B288" t="s">
        <v>332</v>
      </c>
      <c r="C288" t="s">
        <v>21</v>
      </c>
      <c r="D288">
        <v>422605</v>
      </c>
      <c r="E288">
        <v>5774107</v>
      </c>
      <c r="F288">
        <v>21</v>
      </c>
      <c r="G288" t="s">
        <v>22</v>
      </c>
      <c r="H288" t="s">
        <v>23</v>
      </c>
      <c r="I288" t="s">
        <v>333</v>
      </c>
      <c r="J288" t="s">
        <v>1043</v>
      </c>
      <c r="K288">
        <v>1043</v>
      </c>
      <c r="L288" t="s">
        <v>198</v>
      </c>
      <c r="M288" t="s">
        <v>36</v>
      </c>
      <c r="N288" t="s">
        <v>28</v>
      </c>
      <c r="O288" t="s">
        <v>163</v>
      </c>
      <c r="P288" t="s">
        <v>97</v>
      </c>
      <c r="Q288" t="s">
        <v>181</v>
      </c>
      <c r="R288" s="3" t="str">
        <f>HYPERLINK("..\..\Imagery\ScannedGeochron\UPb\Gowe2008Fig5d.jpg")</f>
        <v>..\..\Imagery\ScannedGeochron\UPb\Gowe2008Fig5d.jpg</v>
      </c>
      <c r="S288" t="s">
        <v>1044</v>
      </c>
    </row>
    <row r="289" spans="1:19" x14ac:dyDescent="0.25">
      <c r="A289" t="s">
        <v>335</v>
      </c>
      <c r="B289" t="s">
        <v>336</v>
      </c>
      <c r="C289" t="s">
        <v>21</v>
      </c>
      <c r="D289">
        <v>372580</v>
      </c>
      <c r="E289">
        <v>5783976</v>
      </c>
      <c r="F289">
        <v>21</v>
      </c>
      <c r="G289" t="s">
        <v>22</v>
      </c>
      <c r="H289" t="s">
        <v>23</v>
      </c>
      <c r="I289" t="s">
        <v>337</v>
      </c>
      <c r="J289" t="s">
        <v>1045</v>
      </c>
      <c r="K289">
        <v>1024</v>
      </c>
      <c r="L289" t="s">
        <v>198</v>
      </c>
      <c r="M289" t="s">
        <v>36</v>
      </c>
      <c r="N289" t="s">
        <v>320</v>
      </c>
      <c r="O289" t="s">
        <v>882</v>
      </c>
      <c r="P289" t="s">
        <v>39</v>
      </c>
      <c r="Q289" t="s">
        <v>181</v>
      </c>
      <c r="R289" s="3" t="str">
        <f>HYPERLINK("..\..\Imagery\ScannedGeochron\UPb\Gowe2008Fig5e.jpg")</f>
        <v>..\..\Imagery\ScannedGeochron\UPb\Gowe2008Fig5e.jpg</v>
      </c>
    </row>
    <row r="290" spans="1:19" x14ac:dyDescent="0.25">
      <c r="A290" t="s">
        <v>831</v>
      </c>
      <c r="B290" t="s">
        <v>888</v>
      </c>
      <c r="C290" t="s">
        <v>21</v>
      </c>
      <c r="D290">
        <v>377348</v>
      </c>
      <c r="E290">
        <v>5762342</v>
      </c>
      <c r="F290">
        <v>21</v>
      </c>
      <c r="G290" t="s">
        <v>22</v>
      </c>
      <c r="H290" t="s">
        <v>23</v>
      </c>
      <c r="I290" t="s">
        <v>889</v>
      </c>
      <c r="J290" t="s">
        <v>1046</v>
      </c>
      <c r="K290">
        <v>1189</v>
      </c>
      <c r="L290" t="s">
        <v>198</v>
      </c>
      <c r="M290" t="s">
        <v>36</v>
      </c>
      <c r="N290" t="s">
        <v>28</v>
      </c>
      <c r="O290" t="s">
        <v>166</v>
      </c>
      <c r="P290" t="s">
        <v>97</v>
      </c>
      <c r="Q290" t="s">
        <v>181</v>
      </c>
      <c r="R290" s="3" t="str">
        <f>HYPERLINK("..\..\Imagery\ScannedGeochron\UPb\Gowe2008Fig6a.jpg")</f>
        <v>..\..\Imagery\ScannedGeochron\UPb\Gowe2008Fig6a.jpg</v>
      </c>
      <c r="S290" t="s">
        <v>1047</v>
      </c>
    </row>
    <row r="291" spans="1:19" x14ac:dyDescent="0.25">
      <c r="A291" t="s">
        <v>831</v>
      </c>
      <c r="B291" t="s">
        <v>888</v>
      </c>
      <c r="C291" t="s">
        <v>21</v>
      </c>
      <c r="D291">
        <v>377348</v>
      </c>
      <c r="E291">
        <v>5762342</v>
      </c>
      <c r="F291">
        <v>21</v>
      </c>
      <c r="G291" t="s">
        <v>22</v>
      </c>
      <c r="H291" t="s">
        <v>23</v>
      </c>
      <c r="I291" t="s">
        <v>889</v>
      </c>
      <c r="J291" t="s">
        <v>1048</v>
      </c>
      <c r="K291">
        <v>1027</v>
      </c>
      <c r="L291" t="s">
        <v>198</v>
      </c>
      <c r="M291" t="s">
        <v>263</v>
      </c>
      <c r="N291" t="s">
        <v>58</v>
      </c>
      <c r="O291" t="s">
        <v>931</v>
      </c>
      <c r="P291" t="s">
        <v>39</v>
      </c>
      <c r="Q291" t="s">
        <v>181</v>
      </c>
      <c r="R291" s="3" t="str">
        <f>HYPERLINK("..\..\Imagery\ScannedGeochron\UPb\Gowe2008Fig6a.jpg")</f>
        <v>..\..\Imagery\ScannedGeochron\UPb\Gowe2008Fig6a.jpg</v>
      </c>
    </row>
    <row r="292" spans="1:19" x14ac:dyDescent="0.25">
      <c r="A292" t="s">
        <v>836</v>
      </c>
      <c r="B292" t="s">
        <v>1049</v>
      </c>
      <c r="C292" t="s">
        <v>21</v>
      </c>
      <c r="D292">
        <v>343243</v>
      </c>
      <c r="E292">
        <v>5812334</v>
      </c>
      <c r="F292">
        <v>21</v>
      </c>
      <c r="G292" t="s">
        <v>22</v>
      </c>
      <c r="H292" t="s">
        <v>23</v>
      </c>
      <c r="I292" t="s">
        <v>838</v>
      </c>
      <c r="J292" t="s">
        <v>1050</v>
      </c>
      <c r="K292">
        <v>990</v>
      </c>
      <c r="L292" t="s">
        <v>198</v>
      </c>
      <c r="M292" t="s">
        <v>103</v>
      </c>
      <c r="N292" t="s">
        <v>104</v>
      </c>
      <c r="O292" t="s">
        <v>163</v>
      </c>
      <c r="P292" t="s">
        <v>39</v>
      </c>
      <c r="Q292" t="s">
        <v>181</v>
      </c>
      <c r="R292" s="3" t="str">
        <f>HYPERLINK("..\..\Imagery\ScannedGeochron\UPb\Gowe2008Fig6b.jpg")</f>
        <v>..\..\Imagery\ScannedGeochron\UPb\Gowe2008Fig6b.jpg</v>
      </c>
    </row>
    <row r="293" spans="1:19" x14ac:dyDescent="0.25">
      <c r="A293" t="s">
        <v>836</v>
      </c>
      <c r="B293" t="s">
        <v>842</v>
      </c>
      <c r="C293" t="s">
        <v>21</v>
      </c>
      <c r="D293">
        <v>343243</v>
      </c>
      <c r="E293">
        <v>5812334</v>
      </c>
      <c r="F293">
        <v>21</v>
      </c>
      <c r="G293" t="s">
        <v>22</v>
      </c>
      <c r="H293" t="s">
        <v>23</v>
      </c>
      <c r="I293" t="s">
        <v>843</v>
      </c>
      <c r="J293" t="s">
        <v>1051</v>
      </c>
      <c r="K293">
        <v>1645</v>
      </c>
      <c r="L293" t="s">
        <v>198</v>
      </c>
      <c r="M293" t="s">
        <v>36</v>
      </c>
      <c r="N293" t="s">
        <v>28</v>
      </c>
      <c r="O293" t="s">
        <v>1052</v>
      </c>
      <c r="P293" t="s">
        <v>97</v>
      </c>
      <c r="Q293" t="s">
        <v>181</v>
      </c>
      <c r="R293" s="3" t="str">
        <f>HYPERLINK("..\..\Imagery\ScannedGeochron\UPb\Gowe2008Fig6c.jpg")</f>
        <v>..\..\Imagery\ScannedGeochron\UPb\Gowe2008Fig6c.jpg</v>
      </c>
      <c r="S293" t="s">
        <v>845</v>
      </c>
    </row>
    <row r="294" spans="1:19" x14ac:dyDescent="0.25">
      <c r="A294" t="s">
        <v>836</v>
      </c>
      <c r="B294" t="s">
        <v>842</v>
      </c>
      <c r="C294" t="s">
        <v>21</v>
      </c>
      <c r="D294">
        <v>343243</v>
      </c>
      <c r="E294">
        <v>5812334</v>
      </c>
      <c r="F294">
        <v>21</v>
      </c>
      <c r="G294" t="s">
        <v>22</v>
      </c>
      <c r="H294" t="s">
        <v>23</v>
      </c>
      <c r="I294" t="s">
        <v>843</v>
      </c>
      <c r="J294" t="s">
        <v>1053</v>
      </c>
      <c r="K294">
        <v>1575</v>
      </c>
      <c r="L294" t="s">
        <v>198</v>
      </c>
      <c r="M294" t="s">
        <v>36</v>
      </c>
      <c r="N294" t="s">
        <v>28</v>
      </c>
      <c r="O294" t="s">
        <v>825</v>
      </c>
      <c r="P294" t="s">
        <v>97</v>
      </c>
      <c r="Q294" t="s">
        <v>181</v>
      </c>
      <c r="R294" s="3" t="str">
        <f>HYPERLINK("..\..\Imagery\ScannedGeochron\UPb\Gowe2008Fig6c.jpg")</f>
        <v>..\..\Imagery\ScannedGeochron\UPb\Gowe2008Fig6c.jpg</v>
      </c>
      <c r="S294" t="s">
        <v>845</v>
      </c>
    </row>
    <row r="295" spans="1:19" x14ac:dyDescent="0.25">
      <c r="A295" t="s">
        <v>836</v>
      </c>
      <c r="B295" t="s">
        <v>842</v>
      </c>
      <c r="C295" t="s">
        <v>21</v>
      </c>
      <c r="D295">
        <v>343243</v>
      </c>
      <c r="E295">
        <v>5812334</v>
      </c>
      <c r="F295">
        <v>21</v>
      </c>
      <c r="G295" t="s">
        <v>22</v>
      </c>
      <c r="H295" t="s">
        <v>23</v>
      </c>
      <c r="I295" t="s">
        <v>843</v>
      </c>
      <c r="J295" t="s">
        <v>1054</v>
      </c>
      <c r="K295">
        <v>1017</v>
      </c>
      <c r="L295" t="s">
        <v>198</v>
      </c>
      <c r="M295" t="s">
        <v>36</v>
      </c>
      <c r="N295" t="s">
        <v>28</v>
      </c>
      <c r="O295" t="s">
        <v>619</v>
      </c>
      <c r="P295" t="s">
        <v>30</v>
      </c>
      <c r="Q295" t="s">
        <v>181</v>
      </c>
      <c r="R295" s="3" t="str">
        <f>HYPERLINK("..\..\Imagery\ScannedGeochron\UPb\Gowe2008Fig6c.jpg")</f>
        <v>..\..\Imagery\ScannedGeochron\UPb\Gowe2008Fig6c.jpg</v>
      </c>
    </row>
    <row r="296" spans="1:19" x14ac:dyDescent="0.25">
      <c r="A296" t="s">
        <v>850</v>
      </c>
      <c r="B296" t="s">
        <v>850</v>
      </c>
      <c r="C296" t="s">
        <v>21</v>
      </c>
      <c r="D296">
        <v>338753</v>
      </c>
      <c r="E296">
        <v>5779217</v>
      </c>
      <c r="F296">
        <v>21</v>
      </c>
      <c r="G296" t="s">
        <v>22</v>
      </c>
      <c r="I296" t="s">
        <v>851</v>
      </c>
      <c r="J296" t="s">
        <v>1055</v>
      </c>
      <c r="K296">
        <v>1637</v>
      </c>
      <c r="L296" t="s">
        <v>198</v>
      </c>
      <c r="M296" t="s">
        <v>36</v>
      </c>
      <c r="N296" t="s">
        <v>28</v>
      </c>
      <c r="O296" t="s">
        <v>306</v>
      </c>
      <c r="P296" t="s">
        <v>97</v>
      </c>
      <c r="Q296" t="s">
        <v>181</v>
      </c>
      <c r="R296" s="3" t="str">
        <f>HYPERLINK("..\..\Imagery\ScannedGeochron\UPb\Gowe2008Fig6g.jpg")</f>
        <v>..\..\Imagery\ScannedGeochron\UPb\Gowe2008Fig6g.jpg</v>
      </c>
      <c r="S296" t="s">
        <v>853</v>
      </c>
    </row>
    <row r="297" spans="1:19" x14ac:dyDescent="0.25">
      <c r="A297" t="s">
        <v>857</v>
      </c>
      <c r="B297" t="s">
        <v>858</v>
      </c>
      <c r="C297" t="s">
        <v>21</v>
      </c>
      <c r="D297">
        <v>332160</v>
      </c>
      <c r="E297">
        <v>5771420</v>
      </c>
      <c r="F297">
        <v>21</v>
      </c>
      <c r="G297" t="s">
        <v>22</v>
      </c>
      <c r="H297" t="s">
        <v>23</v>
      </c>
      <c r="I297" t="s">
        <v>859</v>
      </c>
      <c r="J297" t="s">
        <v>1056</v>
      </c>
      <c r="K297">
        <v>2045</v>
      </c>
      <c r="L297" t="s">
        <v>198</v>
      </c>
      <c r="M297" t="s">
        <v>36</v>
      </c>
      <c r="N297" t="s">
        <v>28</v>
      </c>
      <c r="O297" t="s">
        <v>931</v>
      </c>
      <c r="P297" t="s">
        <v>97</v>
      </c>
      <c r="Q297" t="s">
        <v>181</v>
      </c>
      <c r="R297" s="3" t="str">
        <f>HYPERLINK("..\..\Imagery\ScannedGeochron\UPb\Gowe2008Fig7a.jpg")</f>
        <v>..\..\Imagery\ScannedGeochron\UPb\Gowe2008Fig7a.jpg</v>
      </c>
      <c r="S297" t="s">
        <v>861</v>
      </c>
    </row>
    <row r="298" spans="1:19" x14ac:dyDescent="0.25">
      <c r="A298" t="s">
        <v>857</v>
      </c>
      <c r="B298" t="s">
        <v>858</v>
      </c>
      <c r="C298" t="s">
        <v>21</v>
      </c>
      <c r="D298">
        <v>332160</v>
      </c>
      <c r="E298">
        <v>5771420</v>
      </c>
      <c r="F298">
        <v>21</v>
      </c>
      <c r="G298" t="s">
        <v>22</v>
      </c>
      <c r="H298" t="s">
        <v>23</v>
      </c>
      <c r="I298" t="s">
        <v>859</v>
      </c>
      <c r="J298" t="s">
        <v>1057</v>
      </c>
      <c r="K298">
        <v>2745</v>
      </c>
      <c r="L298" t="s">
        <v>198</v>
      </c>
      <c r="M298" t="s">
        <v>36</v>
      </c>
      <c r="N298" t="s">
        <v>28</v>
      </c>
      <c r="O298" t="s">
        <v>163</v>
      </c>
      <c r="P298" t="s">
        <v>97</v>
      </c>
      <c r="Q298" t="s">
        <v>181</v>
      </c>
      <c r="R298" s="3" t="str">
        <f>HYPERLINK("..\..\Imagery\ScannedGeochron\UPb\Gowe2008Fig7a.jpg")</f>
        <v>..\..\Imagery\ScannedGeochron\UPb\Gowe2008Fig7a.jpg</v>
      </c>
      <c r="S298" t="s">
        <v>861</v>
      </c>
    </row>
    <row r="299" spans="1:19" x14ac:dyDescent="0.25">
      <c r="A299" t="s">
        <v>857</v>
      </c>
      <c r="B299" t="s">
        <v>858</v>
      </c>
      <c r="C299" t="s">
        <v>21</v>
      </c>
      <c r="D299">
        <v>332160</v>
      </c>
      <c r="E299">
        <v>5771420</v>
      </c>
      <c r="F299">
        <v>21</v>
      </c>
      <c r="G299" t="s">
        <v>22</v>
      </c>
      <c r="H299" t="s">
        <v>23</v>
      </c>
      <c r="I299" t="s">
        <v>859</v>
      </c>
      <c r="J299" t="s">
        <v>1058</v>
      </c>
      <c r="K299">
        <v>999</v>
      </c>
      <c r="L299" t="s">
        <v>198</v>
      </c>
      <c r="M299" t="s">
        <v>103</v>
      </c>
      <c r="N299" t="s">
        <v>58</v>
      </c>
      <c r="O299" t="s">
        <v>825</v>
      </c>
      <c r="P299" t="s">
        <v>39</v>
      </c>
      <c r="Q299" t="s">
        <v>181</v>
      </c>
      <c r="R299" s="3" t="str">
        <f>HYPERLINK("..\..\Imagery\ScannedGeochron\UPb\Gowe2008Fig7a.jpg")</f>
        <v>..\..\Imagery\ScannedGeochron\UPb\Gowe2008Fig7a.jpg</v>
      </c>
    </row>
    <row r="300" spans="1:19" x14ac:dyDescent="0.25">
      <c r="A300" t="s">
        <v>857</v>
      </c>
      <c r="B300" t="s">
        <v>858</v>
      </c>
      <c r="C300" t="s">
        <v>21</v>
      </c>
      <c r="D300">
        <v>332160</v>
      </c>
      <c r="E300">
        <v>5771420</v>
      </c>
      <c r="F300">
        <v>21</v>
      </c>
      <c r="G300" t="s">
        <v>22</v>
      </c>
      <c r="H300" t="s">
        <v>23</v>
      </c>
      <c r="I300" t="s">
        <v>859</v>
      </c>
      <c r="J300" t="s">
        <v>1059</v>
      </c>
      <c r="K300">
        <v>946</v>
      </c>
      <c r="L300" t="s">
        <v>198</v>
      </c>
      <c r="M300" t="s">
        <v>103</v>
      </c>
      <c r="N300" t="s">
        <v>58</v>
      </c>
      <c r="O300" t="s">
        <v>887</v>
      </c>
      <c r="P300" t="s">
        <v>359</v>
      </c>
      <c r="Q300" t="s">
        <v>181</v>
      </c>
      <c r="R300" s="3" t="str">
        <f>HYPERLINK("..\..\Imagery\ScannedGeochron\UPb\Gowe2008Fig7a.jpg")</f>
        <v>..\..\Imagery\ScannedGeochron\UPb\Gowe2008Fig7a.jpg</v>
      </c>
    </row>
    <row r="301" spans="1:19" x14ac:dyDescent="0.25">
      <c r="A301" t="s">
        <v>857</v>
      </c>
      <c r="B301" t="s">
        <v>866</v>
      </c>
      <c r="C301" t="s">
        <v>21</v>
      </c>
      <c r="D301">
        <v>332160</v>
      </c>
      <c r="E301">
        <v>5771420</v>
      </c>
      <c r="F301">
        <v>21</v>
      </c>
      <c r="G301" t="s">
        <v>22</v>
      </c>
      <c r="H301" t="s">
        <v>23</v>
      </c>
      <c r="I301" t="s">
        <v>867</v>
      </c>
      <c r="J301" t="s">
        <v>1060</v>
      </c>
      <c r="K301">
        <v>1030</v>
      </c>
      <c r="L301" t="s">
        <v>198</v>
      </c>
      <c r="M301" t="s">
        <v>36</v>
      </c>
      <c r="N301" t="s">
        <v>58</v>
      </c>
      <c r="O301" t="s">
        <v>1061</v>
      </c>
      <c r="P301" t="s">
        <v>97</v>
      </c>
      <c r="Q301" t="s">
        <v>181</v>
      </c>
      <c r="R301" s="3" t="str">
        <f>HYPERLINK("..\..\Imagery\ScannedGeochron\UPb\Gowe2008Fig7c.jpg")</f>
        <v>..\..\Imagery\ScannedGeochron\UPb\Gowe2008Fig7c.jpg</v>
      </c>
    </row>
    <row r="302" spans="1:19" x14ac:dyDescent="0.25">
      <c r="A302" t="s">
        <v>857</v>
      </c>
      <c r="B302" t="s">
        <v>866</v>
      </c>
      <c r="C302" t="s">
        <v>21</v>
      </c>
      <c r="D302">
        <v>332160</v>
      </c>
      <c r="E302">
        <v>5771420</v>
      </c>
      <c r="F302">
        <v>21</v>
      </c>
      <c r="G302" t="s">
        <v>22</v>
      </c>
      <c r="H302" t="s">
        <v>23</v>
      </c>
      <c r="I302" t="s">
        <v>867</v>
      </c>
      <c r="J302" t="s">
        <v>1062</v>
      </c>
      <c r="K302">
        <v>991</v>
      </c>
      <c r="L302" t="s">
        <v>198</v>
      </c>
      <c r="M302" t="s">
        <v>36</v>
      </c>
      <c r="N302" t="s">
        <v>58</v>
      </c>
      <c r="O302" t="s">
        <v>1063</v>
      </c>
      <c r="P302" t="s">
        <v>30</v>
      </c>
      <c r="Q302" t="s">
        <v>181</v>
      </c>
      <c r="R302" s="3" t="str">
        <f>HYPERLINK("..\..\Imagery\ScannedGeochron\UPb\Gowe2008Fig7c.jpg")</f>
        <v>..\..\Imagery\ScannedGeochron\UPb\Gowe2008Fig7c.jpg</v>
      </c>
    </row>
    <row r="303" spans="1:19" x14ac:dyDescent="0.25">
      <c r="A303" t="s">
        <v>854</v>
      </c>
      <c r="B303" t="s">
        <v>854</v>
      </c>
      <c r="C303" t="s">
        <v>21</v>
      </c>
      <c r="D303">
        <v>362930</v>
      </c>
      <c r="E303">
        <v>5765194</v>
      </c>
      <c r="F303">
        <v>21</v>
      </c>
      <c r="G303" t="s">
        <v>22</v>
      </c>
      <c r="I303" t="s">
        <v>855</v>
      </c>
      <c r="J303" t="s">
        <v>1064</v>
      </c>
      <c r="K303">
        <v>1049</v>
      </c>
      <c r="L303" t="s">
        <v>198</v>
      </c>
      <c r="M303" t="s">
        <v>36</v>
      </c>
      <c r="N303" t="s">
        <v>58</v>
      </c>
      <c r="O303" t="s">
        <v>820</v>
      </c>
      <c r="P303" t="s">
        <v>97</v>
      </c>
      <c r="Q303" t="s">
        <v>181</v>
      </c>
      <c r="R303" s="3" t="str">
        <f>HYPERLINK("..\..\Imagery\ScannedGeochron\UPb\Gowe2008Fig7d.jpg")</f>
        <v>..\..\Imagery\ScannedGeochron\UPb\Gowe2008Fig7d.jpg</v>
      </c>
    </row>
    <row r="304" spans="1:19" x14ac:dyDescent="0.25">
      <c r="A304" t="s">
        <v>870</v>
      </c>
      <c r="B304" t="s">
        <v>870</v>
      </c>
      <c r="C304" t="s">
        <v>21</v>
      </c>
      <c r="D304">
        <v>348549</v>
      </c>
      <c r="E304">
        <v>5778559</v>
      </c>
      <c r="F304">
        <v>21</v>
      </c>
      <c r="G304" t="s">
        <v>22</v>
      </c>
      <c r="I304" t="s">
        <v>871</v>
      </c>
      <c r="J304" t="s">
        <v>1065</v>
      </c>
      <c r="K304">
        <v>2460</v>
      </c>
      <c r="L304" t="s">
        <v>198</v>
      </c>
      <c r="M304" t="s">
        <v>36</v>
      </c>
      <c r="N304" t="s">
        <v>28</v>
      </c>
      <c r="O304" t="s">
        <v>339</v>
      </c>
      <c r="P304" t="s">
        <v>97</v>
      </c>
      <c r="Q304" t="s">
        <v>181</v>
      </c>
      <c r="R304" s="3" t="str">
        <f>HYPERLINK("..\..\Imagery\ScannedGeochron\UPb\Gowe2008Fig7e.jpg")</f>
        <v>..\..\Imagery\ScannedGeochron\UPb\Gowe2008Fig7e.jpg</v>
      </c>
      <c r="S304" t="s">
        <v>906</v>
      </c>
    </row>
    <row r="305" spans="1:19" x14ac:dyDescent="0.25">
      <c r="A305" t="s">
        <v>870</v>
      </c>
      <c r="B305" t="s">
        <v>870</v>
      </c>
      <c r="C305" t="s">
        <v>21</v>
      </c>
      <c r="D305">
        <v>348549</v>
      </c>
      <c r="E305">
        <v>5778559</v>
      </c>
      <c r="F305">
        <v>21</v>
      </c>
      <c r="G305" t="s">
        <v>22</v>
      </c>
      <c r="I305" t="s">
        <v>871</v>
      </c>
      <c r="J305" t="s">
        <v>1066</v>
      </c>
      <c r="K305">
        <v>1025</v>
      </c>
      <c r="L305" t="s">
        <v>198</v>
      </c>
      <c r="M305" t="s">
        <v>263</v>
      </c>
      <c r="N305" t="s">
        <v>104</v>
      </c>
      <c r="O305" t="s">
        <v>166</v>
      </c>
      <c r="P305" t="s">
        <v>39</v>
      </c>
      <c r="Q305" t="s">
        <v>181</v>
      </c>
      <c r="R305" s="3" t="str">
        <f>HYPERLINK("..\..\Imagery\ScannedGeochron\UPb\Gowe2008Fig7e.jpg")</f>
        <v>..\..\Imagery\ScannedGeochron\UPb\Gowe2008Fig7e.jpg</v>
      </c>
    </row>
    <row r="306" spans="1:19" x14ac:dyDescent="0.25">
      <c r="A306" t="s">
        <v>950</v>
      </c>
      <c r="B306" t="s">
        <v>951</v>
      </c>
      <c r="C306" t="s">
        <v>952</v>
      </c>
      <c r="D306">
        <v>482579</v>
      </c>
      <c r="E306">
        <v>5705449</v>
      </c>
      <c r="F306">
        <v>21</v>
      </c>
      <c r="G306" t="s">
        <v>22</v>
      </c>
      <c r="I306" t="s">
        <v>953</v>
      </c>
      <c r="J306" t="s">
        <v>1067</v>
      </c>
      <c r="K306">
        <v>921</v>
      </c>
      <c r="L306" t="s">
        <v>198</v>
      </c>
      <c r="M306" t="s">
        <v>36</v>
      </c>
      <c r="N306" t="s">
        <v>320</v>
      </c>
      <c r="O306" t="s">
        <v>497</v>
      </c>
      <c r="P306" t="s">
        <v>212</v>
      </c>
      <c r="Q306" t="s">
        <v>200</v>
      </c>
      <c r="R306" s="3" t="str">
        <f>HYPERLINK("..\..\Imagery\ScannedGeochron\UPb\Heam2004Fig3a.jpg")</f>
        <v>..\..\Imagery\ScannedGeochron\UPb\Heam2004Fig3a.jpg</v>
      </c>
      <c r="S306" t="s">
        <v>1068</v>
      </c>
    </row>
    <row r="307" spans="1:19" x14ac:dyDescent="0.25">
      <c r="A307" t="s">
        <v>1069</v>
      </c>
      <c r="B307" t="s">
        <v>1069</v>
      </c>
      <c r="C307" t="s">
        <v>1070</v>
      </c>
      <c r="D307">
        <v>516120</v>
      </c>
      <c r="E307">
        <v>5655020</v>
      </c>
      <c r="F307">
        <v>21</v>
      </c>
      <c r="G307" t="s">
        <v>22</v>
      </c>
      <c r="I307" t="s">
        <v>1071</v>
      </c>
      <c r="J307" t="s">
        <v>1072</v>
      </c>
      <c r="K307">
        <v>1601</v>
      </c>
      <c r="L307" t="s">
        <v>1073</v>
      </c>
      <c r="M307" t="s">
        <v>772</v>
      </c>
      <c r="N307" t="s">
        <v>28</v>
      </c>
      <c r="O307" t="s">
        <v>1074</v>
      </c>
      <c r="P307" t="s">
        <v>30</v>
      </c>
      <c r="Q307" t="s">
        <v>200</v>
      </c>
      <c r="R307" s="3" t="str">
        <f>HYPERLINK("..\..\Imagery\ScannedGeochron\UPb\Heam2004Fig3b.jpg")</f>
        <v>..\..\Imagery\ScannedGeochron\UPb\Heam2004Fig3b.jpg</v>
      </c>
      <c r="S307" t="s">
        <v>1075</v>
      </c>
    </row>
    <row r="308" spans="1:19" x14ac:dyDescent="0.25">
      <c r="A308" t="s">
        <v>1069</v>
      </c>
      <c r="B308" t="s">
        <v>1069</v>
      </c>
      <c r="C308" t="s">
        <v>1070</v>
      </c>
      <c r="D308">
        <v>516120</v>
      </c>
      <c r="E308">
        <v>5655020</v>
      </c>
      <c r="F308">
        <v>21</v>
      </c>
      <c r="G308" t="s">
        <v>22</v>
      </c>
      <c r="I308" t="s">
        <v>1071</v>
      </c>
      <c r="J308" t="s">
        <v>1076</v>
      </c>
      <c r="K308">
        <v>976</v>
      </c>
      <c r="L308" t="s">
        <v>1073</v>
      </c>
      <c r="M308" t="s">
        <v>772</v>
      </c>
      <c r="N308" t="s">
        <v>320</v>
      </c>
      <c r="O308" t="s">
        <v>1074</v>
      </c>
      <c r="P308" t="s">
        <v>39</v>
      </c>
      <c r="Q308" t="s">
        <v>200</v>
      </c>
      <c r="R308" s="3" t="str">
        <f>HYPERLINK("..\..\Imagery\ScannedGeochron\UPb\Heam2004Fig3b.jpg")</f>
        <v>..\..\Imagery\ScannedGeochron\UPb\Heam2004Fig3b.jpg</v>
      </c>
      <c r="S308" t="s">
        <v>1075</v>
      </c>
    </row>
    <row r="309" spans="1:19" x14ac:dyDescent="0.25">
      <c r="A309" t="s">
        <v>1077</v>
      </c>
      <c r="B309" t="s">
        <v>1077</v>
      </c>
      <c r="C309" t="s">
        <v>21</v>
      </c>
      <c r="D309">
        <v>338600</v>
      </c>
      <c r="E309">
        <v>6089500</v>
      </c>
      <c r="F309">
        <v>21</v>
      </c>
      <c r="G309" t="s">
        <v>22</v>
      </c>
      <c r="I309" t="s">
        <v>1078</v>
      </c>
      <c r="J309" t="s">
        <v>1079</v>
      </c>
      <c r="K309">
        <v>2813</v>
      </c>
      <c r="L309" t="s">
        <v>1080</v>
      </c>
      <c r="M309" t="s">
        <v>36</v>
      </c>
      <c r="N309" t="s">
        <v>28</v>
      </c>
      <c r="O309" t="s">
        <v>1081</v>
      </c>
      <c r="P309" t="s">
        <v>30</v>
      </c>
      <c r="Q309" t="s">
        <v>1006</v>
      </c>
      <c r="R309" s="3" t="str">
        <f>HYPERLINK("..\..\Imagery\ScannedGeochron\UPb\Ketc2002Fig5a.jpg")</f>
        <v>..\..\Imagery\ScannedGeochron\UPb\Ketc2002Fig5a.jpg</v>
      </c>
      <c r="S309" t="s">
        <v>1082</v>
      </c>
    </row>
    <row r="310" spans="1:19" x14ac:dyDescent="0.25">
      <c r="A310" t="s">
        <v>1083</v>
      </c>
      <c r="B310" t="s">
        <v>1083</v>
      </c>
      <c r="C310" t="s">
        <v>21</v>
      </c>
      <c r="D310">
        <v>410513</v>
      </c>
      <c r="E310">
        <v>6078306</v>
      </c>
      <c r="F310">
        <v>21</v>
      </c>
      <c r="G310" t="s">
        <v>22</v>
      </c>
      <c r="I310" t="s">
        <v>1084</v>
      </c>
      <c r="J310" t="s">
        <v>1085</v>
      </c>
      <c r="K310">
        <v>1853</v>
      </c>
      <c r="L310" t="s">
        <v>1003</v>
      </c>
      <c r="M310" t="s">
        <v>36</v>
      </c>
      <c r="N310" t="s">
        <v>58</v>
      </c>
      <c r="O310" t="s">
        <v>578</v>
      </c>
      <c r="P310" t="s">
        <v>30</v>
      </c>
      <c r="Q310" t="s">
        <v>1006</v>
      </c>
      <c r="R310" s="3" t="str">
        <f>HYPERLINK("..\..\Imagery\ScannedGeochron\UPb\Ketc2002Fig5b.jpg")</f>
        <v>..\..\Imagery\ScannedGeochron\UPb\Ketc2002Fig5b.jpg</v>
      </c>
    </row>
    <row r="311" spans="1:19" x14ac:dyDescent="0.25">
      <c r="A311" t="s">
        <v>1086</v>
      </c>
      <c r="B311" t="s">
        <v>1086</v>
      </c>
      <c r="C311" t="s">
        <v>21</v>
      </c>
      <c r="D311">
        <v>432609</v>
      </c>
      <c r="E311">
        <v>6083568</v>
      </c>
      <c r="F311">
        <v>21</v>
      </c>
      <c r="G311" t="s">
        <v>22</v>
      </c>
      <c r="I311" t="s">
        <v>1087</v>
      </c>
      <c r="J311" t="s">
        <v>1088</v>
      </c>
      <c r="K311">
        <v>1815</v>
      </c>
      <c r="L311" t="s">
        <v>1003</v>
      </c>
      <c r="M311" t="s">
        <v>36</v>
      </c>
      <c r="N311" t="s">
        <v>28</v>
      </c>
      <c r="O311" t="s">
        <v>1081</v>
      </c>
      <c r="P311" t="s">
        <v>30</v>
      </c>
      <c r="Q311" t="s">
        <v>1006</v>
      </c>
      <c r="R311" s="3" t="str">
        <f>HYPERLINK("..\..\Imagery\ScannedGeochron\UPb\Ketc2002Fig5c.jpg")</f>
        <v>..\..\Imagery\ScannedGeochron\UPb\Ketc2002Fig5c.jpg</v>
      </c>
    </row>
    <row r="312" spans="1:19" x14ac:dyDescent="0.25">
      <c r="A312" t="s">
        <v>1089</v>
      </c>
      <c r="B312" t="s">
        <v>1089</v>
      </c>
      <c r="C312" t="s">
        <v>21</v>
      </c>
      <c r="D312">
        <v>434270</v>
      </c>
      <c r="E312">
        <v>6084804</v>
      </c>
      <c r="F312">
        <v>21</v>
      </c>
      <c r="G312" t="s">
        <v>22</v>
      </c>
      <c r="I312" t="s">
        <v>1090</v>
      </c>
      <c r="J312" t="s">
        <v>1091</v>
      </c>
      <c r="K312">
        <v>1815</v>
      </c>
      <c r="L312" t="s">
        <v>1003</v>
      </c>
      <c r="M312" t="s">
        <v>36</v>
      </c>
      <c r="N312" t="s">
        <v>28</v>
      </c>
      <c r="O312" t="s">
        <v>1092</v>
      </c>
      <c r="P312" t="s">
        <v>30</v>
      </c>
      <c r="Q312" t="s">
        <v>1006</v>
      </c>
      <c r="R312" s="3" t="str">
        <f>HYPERLINK("..\..\Imagery\ScannedGeochron\UPb\Ketc2002Fig5d.jpg")</f>
        <v>..\..\Imagery\ScannedGeochron\UPb\Ketc2002Fig5d.jpg</v>
      </c>
      <c r="S312" t="s">
        <v>1093</v>
      </c>
    </row>
    <row r="313" spans="1:19" x14ac:dyDescent="0.25">
      <c r="A313" t="s">
        <v>1000</v>
      </c>
      <c r="B313" t="s">
        <v>1000</v>
      </c>
      <c r="C313" t="s">
        <v>21</v>
      </c>
      <c r="D313">
        <v>435249</v>
      </c>
      <c r="E313">
        <v>6085085</v>
      </c>
      <c r="F313">
        <v>21</v>
      </c>
      <c r="G313" t="s">
        <v>22</v>
      </c>
      <c r="I313" t="s">
        <v>1001</v>
      </c>
      <c r="J313" t="s">
        <v>1094</v>
      </c>
      <c r="K313">
        <v>1815</v>
      </c>
      <c r="L313" t="s">
        <v>1003</v>
      </c>
      <c r="M313" t="s">
        <v>36</v>
      </c>
      <c r="N313" t="s">
        <v>28</v>
      </c>
      <c r="O313" t="s">
        <v>1095</v>
      </c>
      <c r="P313" t="s">
        <v>30</v>
      </c>
      <c r="Q313" t="s">
        <v>1006</v>
      </c>
      <c r="R313" s="3" t="str">
        <f>HYPERLINK("..\..\Imagery\ScannedGeochron\UPb\Ketc2002Fig5e.jpg")</f>
        <v>..\..\Imagery\ScannedGeochron\UPb\Ketc2002Fig5e.jpg</v>
      </c>
      <c r="S313" t="s">
        <v>1096</v>
      </c>
    </row>
    <row r="314" spans="1:19" x14ac:dyDescent="0.25">
      <c r="A314" t="s">
        <v>1097</v>
      </c>
      <c r="B314" t="s">
        <v>1097</v>
      </c>
      <c r="C314" t="s">
        <v>21</v>
      </c>
      <c r="D314">
        <v>433640</v>
      </c>
      <c r="E314">
        <v>6084144</v>
      </c>
      <c r="F314">
        <v>21</v>
      </c>
      <c r="G314" t="s">
        <v>22</v>
      </c>
      <c r="I314" t="s">
        <v>1098</v>
      </c>
      <c r="J314" t="s">
        <v>1099</v>
      </c>
      <c r="K314">
        <v>1798</v>
      </c>
      <c r="L314" t="s">
        <v>1003</v>
      </c>
      <c r="M314" t="s">
        <v>36</v>
      </c>
      <c r="N314" t="s">
        <v>28</v>
      </c>
      <c r="O314" t="s">
        <v>1095</v>
      </c>
      <c r="P314" t="s">
        <v>30</v>
      </c>
      <c r="Q314" t="s">
        <v>1006</v>
      </c>
      <c r="R314" s="3" t="str">
        <f>HYPERLINK("..\..\Imagery\ScannedGeochron\UPb\Ketc2002Fig5f.jpg")</f>
        <v>..\..\Imagery\ScannedGeochron\UPb\Ketc2002Fig5f.jpg</v>
      </c>
    </row>
    <row r="315" spans="1:19" x14ac:dyDescent="0.25">
      <c r="A315" t="s">
        <v>1077</v>
      </c>
      <c r="B315" t="s">
        <v>1077</v>
      </c>
      <c r="C315" t="s">
        <v>21</v>
      </c>
      <c r="D315">
        <v>338600</v>
      </c>
      <c r="E315">
        <v>6089500</v>
      </c>
      <c r="F315">
        <v>21</v>
      </c>
      <c r="G315" t="s">
        <v>22</v>
      </c>
      <c r="I315" t="s">
        <v>1078</v>
      </c>
      <c r="J315" t="s">
        <v>1100</v>
      </c>
      <c r="K315">
        <v>1767</v>
      </c>
      <c r="L315" t="s">
        <v>1080</v>
      </c>
      <c r="M315" t="s">
        <v>103</v>
      </c>
      <c r="N315" t="s">
        <v>58</v>
      </c>
      <c r="O315" t="s">
        <v>1004</v>
      </c>
      <c r="P315" t="s">
        <v>39</v>
      </c>
      <c r="Q315" t="s">
        <v>1006</v>
      </c>
      <c r="R315" s="3" t="str">
        <f>HYPERLINK("..\..\Imagery\ScannedGeochron\UPb\Ketc2002Fig5a.jpg")</f>
        <v>..\..\Imagery\ScannedGeochron\UPb\Ketc2002Fig5a.jpg</v>
      </c>
      <c r="S315" t="s">
        <v>1101</v>
      </c>
    </row>
    <row r="316" spans="1:19" x14ac:dyDescent="0.25">
      <c r="A316" t="s">
        <v>1077</v>
      </c>
      <c r="B316" t="s">
        <v>1077</v>
      </c>
      <c r="C316" t="s">
        <v>21</v>
      </c>
      <c r="D316">
        <v>338600</v>
      </c>
      <c r="E316">
        <v>6089500</v>
      </c>
      <c r="F316">
        <v>21</v>
      </c>
      <c r="G316" t="s">
        <v>22</v>
      </c>
      <c r="I316" t="s">
        <v>1078</v>
      </c>
      <c r="J316" t="s">
        <v>1102</v>
      </c>
      <c r="K316">
        <v>1759</v>
      </c>
      <c r="L316" t="s">
        <v>1080</v>
      </c>
      <c r="M316" t="s">
        <v>103</v>
      </c>
      <c r="N316" t="s">
        <v>58</v>
      </c>
      <c r="O316" t="s">
        <v>1103</v>
      </c>
      <c r="P316" t="s">
        <v>39</v>
      </c>
      <c r="Q316" t="s">
        <v>1006</v>
      </c>
      <c r="R316" s="3" t="str">
        <f>HYPERLINK("..\..\Imagery\ScannedGeochron\UPb\Ketc2002Fig5a.jpg")</f>
        <v>..\..\Imagery\ScannedGeochron\UPb\Ketc2002Fig5a.jpg</v>
      </c>
      <c r="S316" t="s">
        <v>1104</v>
      </c>
    </row>
    <row r="317" spans="1:19" x14ac:dyDescent="0.25">
      <c r="A317" t="s">
        <v>1077</v>
      </c>
      <c r="B317" t="s">
        <v>1077</v>
      </c>
      <c r="C317" t="s">
        <v>21</v>
      </c>
      <c r="D317">
        <v>338600</v>
      </c>
      <c r="E317">
        <v>6089500</v>
      </c>
      <c r="F317">
        <v>21</v>
      </c>
      <c r="G317" t="s">
        <v>22</v>
      </c>
      <c r="I317" t="s">
        <v>1078</v>
      </c>
      <c r="J317" t="s">
        <v>1105</v>
      </c>
      <c r="K317">
        <v>1863</v>
      </c>
      <c r="L317" t="s">
        <v>1080</v>
      </c>
      <c r="M317" t="s">
        <v>36</v>
      </c>
      <c r="N317" t="s">
        <v>320</v>
      </c>
      <c r="O317" t="s">
        <v>1081</v>
      </c>
      <c r="P317" t="s">
        <v>212</v>
      </c>
      <c r="Q317" t="s">
        <v>1006</v>
      </c>
      <c r="R317" s="3" t="str">
        <f>HYPERLINK("..\..\Imagery\ScannedGeochron\UPb\Ketc2002Fig5a.jpg")</f>
        <v>..\..\Imagery\ScannedGeochron\UPb\Ketc2002Fig5a.jpg</v>
      </c>
    </row>
    <row r="318" spans="1:19" x14ac:dyDescent="0.25">
      <c r="A318" t="s">
        <v>1086</v>
      </c>
      <c r="B318" t="s">
        <v>1086</v>
      </c>
      <c r="C318" t="s">
        <v>21</v>
      </c>
      <c r="D318">
        <v>432609</v>
      </c>
      <c r="E318">
        <v>6083568</v>
      </c>
      <c r="F318">
        <v>21</v>
      </c>
      <c r="G318" t="s">
        <v>22</v>
      </c>
      <c r="I318" t="s">
        <v>1087</v>
      </c>
      <c r="J318" t="s">
        <v>1106</v>
      </c>
      <c r="K318">
        <v>497</v>
      </c>
      <c r="L318" t="s">
        <v>1003</v>
      </c>
      <c r="M318" t="s">
        <v>36</v>
      </c>
      <c r="N318" t="s">
        <v>320</v>
      </c>
      <c r="O318" t="s">
        <v>1081</v>
      </c>
      <c r="P318" t="s">
        <v>212</v>
      </c>
      <c r="Q318" t="s">
        <v>1006</v>
      </c>
      <c r="R318" s="3" t="str">
        <f>HYPERLINK("..\..\Imagery\ScannedGeochron\UPb\Ketc2002Fig5c.jpg")</f>
        <v>..\..\Imagery\ScannedGeochron\UPb\Ketc2002Fig5c.jpg</v>
      </c>
    </row>
    <row r="319" spans="1:19" x14ac:dyDescent="0.25">
      <c r="A319" t="s">
        <v>1089</v>
      </c>
      <c r="B319" t="s">
        <v>1089</v>
      </c>
      <c r="C319" t="s">
        <v>21</v>
      </c>
      <c r="D319">
        <v>434270</v>
      </c>
      <c r="E319">
        <v>6084804</v>
      </c>
      <c r="F319">
        <v>21</v>
      </c>
      <c r="G319" t="s">
        <v>22</v>
      </c>
      <c r="I319" t="s">
        <v>1090</v>
      </c>
      <c r="J319" t="s">
        <v>1107</v>
      </c>
      <c r="K319">
        <v>105</v>
      </c>
      <c r="L319" t="s">
        <v>1003</v>
      </c>
      <c r="M319" t="s">
        <v>36</v>
      </c>
      <c r="N319" t="s">
        <v>320</v>
      </c>
      <c r="O319" t="s">
        <v>1092</v>
      </c>
      <c r="P319" t="s">
        <v>212</v>
      </c>
      <c r="Q319" t="s">
        <v>1006</v>
      </c>
      <c r="R319" s="3" t="str">
        <f>HYPERLINK("..\..\Imagery\ScannedGeochron\UPb\Ketc2002Fig5d.jpg")</f>
        <v>..\..\Imagery\ScannedGeochron\UPb\Ketc2002Fig5d.jpg</v>
      </c>
    </row>
    <row r="320" spans="1:19" x14ac:dyDescent="0.25">
      <c r="A320" t="s">
        <v>1000</v>
      </c>
      <c r="B320" t="s">
        <v>1000</v>
      </c>
      <c r="C320" t="s">
        <v>21</v>
      </c>
      <c r="D320">
        <v>435249</v>
      </c>
      <c r="E320">
        <v>6085085</v>
      </c>
      <c r="F320">
        <v>21</v>
      </c>
      <c r="G320" t="s">
        <v>22</v>
      </c>
      <c r="I320" t="s">
        <v>1001</v>
      </c>
      <c r="J320" t="s">
        <v>1108</v>
      </c>
      <c r="K320">
        <v>569</v>
      </c>
      <c r="L320" t="s">
        <v>1003</v>
      </c>
      <c r="M320" t="s">
        <v>36</v>
      </c>
      <c r="N320" t="s">
        <v>320</v>
      </c>
      <c r="O320" t="s">
        <v>1095</v>
      </c>
      <c r="P320" t="s">
        <v>212</v>
      </c>
      <c r="Q320" t="s">
        <v>1006</v>
      </c>
      <c r="R320" s="3" t="str">
        <f>HYPERLINK("..\..\Imagery\ScannedGeochron\UPb\Ketc2002Fig5e.jpg")</f>
        <v>..\..\Imagery\ScannedGeochron\UPb\Ketc2002Fig5e.jpg</v>
      </c>
      <c r="S320" t="s">
        <v>1109</v>
      </c>
    </row>
    <row r="321" spans="1:19" x14ac:dyDescent="0.25">
      <c r="A321" t="s">
        <v>1097</v>
      </c>
      <c r="B321" t="s">
        <v>1097</v>
      </c>
      <c r="C321" t="s">
        <v>21</v>
      </c>
      <c r="D321">
        <v>433640</v>
      </c>
      <c r="E321">
        <v>6084144</v>
      </c>
      <c r="F321">
        <v>21</v>
      </c>
      <c r="G321" t="s">
        <v>22</v>
      </c>
      <c r="I321" t="s">
        <v>1098</v>
      </c>
      <c r="J321" t="s">
        <v>1110</v>
      </c>
      <c r="K321">
        <v>241</v>
      </c>
      <c r="L321" t="s">
        <v>1003</v>
      </c>
      <c r="M321" t="s">
        <v>36</v>
      </c>
      <c r="N321" t="s">
        <v>320</v>
      </c>
      <c r="O321" t="s">
        <v>1004</v>
      </c>
      <c r="P321" t="s">
        <v>212</v>
      </c>
      <c r="Q321" t="s">
        <v>1006</v>
      </c>
      <c r="R321" s="3" t="str">
        <f>HYPERLINK("..\..\Imagery\ScannedGeochron\UPb\Ketc2002Fig5f.jpg")</f>
        <v>..\..\Imagery\ScannedGeochron\UPb\Ketc2002Fig5f.jpg</v>
      </c>
    </row>
    <row r="322" spans="1:19" x14ac:dyDescent="0.25">
      <c r="A322" t="s">
        <v>1111</v>
      </c>
      <c r="B322" t="s">
        <v>1111</v>
      </c>
      <c r="C322" t="s">
        <v>21</v>
      </c>
      <c r="D322">
        <v>393010</v>
      </c>
      <c r="E322">
        <v>6088670</v>
      </c>
      <c r="F322">
        <v>21</v>
      </c>
      <c r="G322" t="s">
        <v>22</v>
      </c>
      <c r="I322" t="s">
        <v>1112</v>
      </c>
      <c r="J322" t="s">
        <v>1113</v>
      </c>
      <c r="K322">
        <v>1801</v>
      </c>
      <c r="L322" t="s">
        <v>1003</v>
      </c>
      <c r="M322" t="s">
        <v>36</v>
      </c>
      <c r="N322" t="s">
        <v>58</v>
      </c>
      <c r="O322" t="s">
        <v>339</v>
      </c>
      <c r="P322" t="s">
        <v>30</v>
      </c>
      <c r="Q322" t="s">
        <v>1114</v>
      </c>
      <c r="R322" s="3" t="str">
        <f>HYPERLINK("..\..\Imagery\ScannedGeochron\UPb\Kerr1992Fig4a.jpg")</f>
        <v>..\..\Imagery\ScannedGeochron\UPb\Kerr1992Fig4a.jpg</v>
      </c>
      <c r="S322" t="s">
        <v>1115</v>
      </c>
    </row>
    <row r="323" spans="1:19" x14ac:dyDescent="0.25">
      <c r="A323" t="s">
        <v>1116</v>
      </c>
      <c r="B323" t="s">
        <v>1116</v>
      </c>
      <c r="C323" t="s">
        <v>21</v>
      </c>
      <c r="D323">
        <v>359484</v>
      </c>
      <c r="E323">
        <v>6067150</v>
      </c>
      <c r="F323">
        <v>21</v>
      </c>
      <c r="G323" t="s">
        <v>22</v>
      </c>
      <c r="I323" t="s">
        <v>1117</v>
      </c>
      <c r="J323" t="s">
        <v>1118</v>
      </c>
      <c r="K323">
        <v>1802</v>
      </c>
      <c r="L323" t="s">
        <v>1003</v>
      </c>
      <c r="M323" t="s">
        <v>36</v>
      </c>
      <c r="N323" t="s">
        <v>58</v>
      </c>
      <c r="O323" t="s">
        <v>634</v>
      </c>
      <c r="P323" t="s">
        <v>30</v>
      </c>
      <c r="Q323" t="s">
        <v>1114</v>
      </c>
      <c r="R323" s="3" t="str">
        <f>HYPERLINK("..\..\Imagery\ScannedGeochron\UPb\Kerr1992Fig4b.jpg")</f>
        <v>..\..\Imagery\ScannedGeochron\UPb\Kerr1992Fig4b.jpg</v>
      </c>
    </row>
    <row r="324" spans="1:19" x14ac:dyDescent="0.25">
      <c r="A324" t="s">
        <v>1119</v>
      </c>
      <c r="B324" t="s">
        <v>1119</v>
      </c>
      <c r="C324" t="s">
        <v>21</v>
      </c>
      <c r="D324">
        <v>383710</v>
      </c>
      <c r="E324">
        <v>6078080</v>
      </c>
      <c r="F324">
        <v>21</v>
      </c>
      <c r="G324" t="s">
        <v>22</v>
      </c>
      <c r="I324" t="s">
        <v>1120</v>
      </c>
      <c r="J324" t="s">
        <v>1121</v>
      </c>
      <c r="K324">
        <v>1800</v>
      </c>
      <c r="L324" t="s">
        <v>1003</v>
      </c>
      <c r="M324" t="s">
        <v>36</v>
      </c>
      <c r="N324" t="s">
        <v>104</v>
      </c>
      <c r="O324" t="s">
        <v>339</v>
      </c>
      <c r="P324" t="s">
        <v>30</v>
      </c>
      <c r="Q324" t="s">
        <v>1114</v>
      </c>
      <c r="R324" s="3" t="str">
        <f>HYPERLINK("..\..\Imagery\ScannedGeochron\UPb\Kerr1992Fig4b.jpg")</f>
        <v>..\..\Imagery\ScannedGeochron\UPb\Kerr1992Fig4b.jpg</v>
      </c>
      <c r="S324" t="s">
        <v>1122</v>
      </c>
    </row>
    <row r="325" spans="1:19" x14ac:dyDescent="0.25">
      <c r="A325" t="s">
        <v>1123</v>
      </c>
      <c r="B325" t="s">
        <v>1123</v>
      </c>
      <c r="C325" t="s">
        <v>21</v>
      </c>
      <c r="D325">
        <v>342500</v>
      </c>
      <c r="E325">
        <v>6108500</v>
      </c>
      <c r="F325">
        <v>21</v>
      </c>
      <c r="G325" t="s">
        <v>22</v>
      </c>
      <c r="I325" t="s">
        <v>1124</v>
      </c>
      <c r="J325" t="s">
        <v>1125</v>
      </c>
      <c r="K325">
        <v>1802</v>
      </c>
      <c r="L325" t="s">
        <v>1126</v>
      </c>
      <c r="M325" t="s">
        <v>36</v>
      </c>
      <c r="N325" t="s">
        <v>28</v>
      </c>
      <c r="O325" t="s">
        <v>160</v>
      </c>
      <c r="P325" t="s">
        <v>30</v>
      </c>
      <c r="Q325" t="s">
        <v>1114</v>
      </c>
      <c r="R325" s="3" t="str">
        <f>HYPERLINK("..\..\Imagery\ScannedGeochron\UPb\Kerr1992Fig4c.jpg")</f>
        <v>..\..\Imagery\ScannedGeochron\UPb\Kerr1992Fig4c.jpg</v>
      </c>
    </row>
    <row r="326" spans="1:19" x14ac:dyDescent="0.25">
      <c r="A326" t="s">
        <v>1123</v>
      </c>
      <c r="B326" t="s">
        <v>1123</v>
      </c>
      <c r="C326" t="s">
        <v>21</v>
      </c>
      <c r="D326">
        <v>342500</v>
      </c>
      <c r="E326">
        <v>6108500</v>
      </c>
      <c r="F326">
        <v>21</v>
      </c>
      <c r="G326" t="s">
        <v>22</v>
      </c>
      <c r="I326" t="s">
        <v>1124</v>
      </c>
      <c r="J326" t="s">
        <v>1127</v>
      </c>
      <c r="K326">
        <v>1746</v>
      </c>
      <c r="L326" t="s">
        <v>1126</v>
      </c>
      <c r="M326" t="s">
        <v>103</v>
      </c>
      <c r="N326" t="s">
        <v>58</v>
      </c>
      <c r="O326" t="s">
        <v>306</v>
      </c>
      <c r="P326" t="s">
        <v>39</v>
      </c>
      <c r="Q326" t="s">
        <v>1128</v>
      </c>
      <c r="R326" s="3" t="str">
        <f>HYPERLINK("..\..\Imagery\ScannedGeochron\UPb\Kerr1992Fig4c.jpg")</f>
        <v>..\..\Imagery\ScannedGeochron\UPb\Kerr1992Fig4c.jpg</v>
      </c>
    </row>
    <row r="327" spans="1:19" x14ac:dyDescent="0.25">
      <c r="A327" t="s">
        <v>1129</v>
      </c>
      <c r="B327" t="s">
        <v>1129</v>
      </c>
      <c r="C327" t="s">
        <v>21</v>
      </c>
      <c r="D327">
        <v>421950</v>
      </c>
      <c r="E327">
        <v>6075190</v>
      </c>
      <c r="F327">
        <v>21</v>
      </c>
      <c r="G327" t="s">
        <v>22</v>
      </c>
      <c r="I327" t="s">
        <v>1130</v>
      </c>
      <c r="J327" t="s">
        <v>1131</v>
      </c>
      <c r="K327">
        <v>1837</v>
      </c>
      <c r="L327" t="s">
        <v>1003</v>
      </c>
      <c r="M327" t="s">
        <v>36</v>
      </c>
      <c r="N327" t="s">
        <v>28</v>
      </c>
      <c r="O327" t="s">
        <v>160</v>
      </c>
      <c r="P327" t="s">
        <v>30</v>
      </c>
      <c r="Q327" t="s">
        <v>1114</v>
      </c>
      <c r="R327" s="3" t="str">
        <f>HYPERLINK("..\..\Imagery\ScannedGeochron\UPb\Kerr1992Fig4d.jpg")</f>
        <v>..\..\Imagery\ScannedGeochron\UPb\Kerr1992Fig4d.jpg</v>
      </c>
    </row>
    <row r="328" spans="1:19" x14ac:dyDescent="0.25">
      <c r="A328" t="s">
        <v>1132</v>
      </c>
      <c r="B328" t="s">
        <v>1133</v>
      </c>
      <c r="C328" t="s">
        <v>21</v>
      </c>
      <c r="D328">
        <v>368111</v>
      </c>
      <c r="E328">
        <v>6113152</v>
      </c>
      <c r="F328">
        <v>21</v>
      </c>
      <c r="G328" t="s">
        <v>22</v>
      </c>
      <c r="I328" t="s">
        <v>1134</v>
      </c>
      <c r="J328" t="s">
        <v>1135</v>
      </c>
      <c r="K328">
        <v>1719</v>
      </c>
      <c r="L328" t="s">
        <v>1080</v>
      </c>
      <c r="M328" t="s">
        <v>36</v>
      </c>
      <c r="N328" t="s">
        <v>104</v>
      </c>
      <c r="O328" t="s">
        <v>1136</v>
      </c>
      <c r="P328" t="s">
        <v>30</v>
      </c>
      <c r="Q328" t="s">
        <v>1114</v>
      </c>
      <c r="R328" s="3" t="str">
        <f>HYPERLINK("..\..\Imagery\ScannedGeochron\UPb\Kerr1992Fig5.jpg")</f>
        <v>..\..\Imagery\ScannedGeochron\UPb\Kerr1992Fig5.jpg</v>
      </c>
      <c r="S328" t="s">
        <v>1137</v>
      </c>
    </row>
    <row r="329" spans="1:19" x14ac:dyDescent="0.25">
      <c r="A329" t="s">
        <v>1138</v>
      </c>
      <c r="B329" t="s">
        <v>1138</v>
      </c>
      <c r="C329" t="s">
        <v>21</v>
      </c>
      <c r="D329">
        <v>375000</v>
      </c>
      <c r="E329">
        <v>6086520</v>
      </c>
      <c r="F329">
        <v>21</v>
      </c>
      <c r="G329" t="s">
        <v>22</v>
      </c>
      <c r="I329" t="s">
        <v>1139</v>
      </c>
      <c r="J329" t="s">
        <v>1140</v>
      </c>
      <c r="K329">
        <v>1649</v>
      </c>
      <c r="L329" t="s">
        <v>1080</v>
      </c>
      <c r="M329" t="s">
        <v>36</v>
      </c>
      <c r="N329" t="s">
        <v>58</v>
      </c>
      <c r="O329" t="s">
        <v>306</v>
      </c>
      <c r="P329" t="s">
        <v>30</v>
      </c>
      <c r="Q329" t="s">
        <v>1114</v>
      </c>
      <c r="R329" s="3" t="str">
        <f>HYPERLINK("..\..\Imagery\ScannedGeochron\UPb\Kerr1992Fig6a.jpg")</f>
        <v>..\..\Imagery\ScannedGeochron\UPb\Kerr1992Fig6a.jpg</v>
      </c>
      <c r="S329" t="s">
        <v>1141</v>
      </c>
    </row>
    <row r="330" spans="1:19" x14ac:dyDescent="0.25">
      <c r="A330" t="s">
        <v>1142</v>
      </c>
      <c r="B330" t="s">
        <v>1142</v>
      </c>
      <c r="C330" t="s">
        <v>21</v>
      </c>
      <c r="D330">
        <v>396490</v>
      </c>
      <c r="E330">
        <v>6066960</v>
      </c>
      <c r="F330">
        <v>21</v>
      </c>
      <c r="G330" t="s">
        <v>22</v>
      </c>
      <c r="I330" t="s">
        <v>1143</v>
      </c>
      <c r="J330" t="s">
        <v>1144</v>
      </c>
      <c r="K330">
        <v>1649</v>
      </c>
      <c r="L330" t="s">
        <v>1003</v>
      </c>
      <c r="M330" t="s">
        <v>36</v>
      </c>
      <c r="N330" t="s">
        <v>104</v>
      </c>
      <c r="O330" t="s">
        <v>1145</v>
      </c>
      <c r="P330" t="s">
        <v>30</v>
      </c>
      <c r="Q330" t="s">
        <v>1114</v>
      </c>
      <c r="R330" s="3" t="str">
        <f>HYPERLINK("..\..\Imagery\ScannedGeochron\UPb\Kerr1992Fig6b.jpg")</f>
        <v>..\..\Imagery\ScannedGeochron\UPb\Kerr1992Fig6b.jpg</v>
      </c>
      <c r="S330" t="s">
        <v>1146</v>
      </c>
    </row>
    <row r="331" spans="1:19" x14ac:dyDescent="0.25">
      <c r="A331" t="s">
        <v>1142</v>
      </c>
      <c r="B331" t="s">
        <v>1142</v>
      </c>
      <c r="C331" t="s">
        <v>21</v>
      </c>
      <c r="D331">
        <v>396490</v>
      </c>
      <c r="E331">
        <v>6066960</v>
      </c>
      <c r="F331">
        <v>21</v>
      </c>
      <c r="G331" t="s">
        <v>22</v>
      </c>
      <c r="I331" t="s">
        <v>1143</v>
      </c>
      <c r="J331" t="s">
        <v>1147</v>
      </c>
      <c r="K331">
        <v>344</v>
      </c>
      <c r="L331" t="s">
        <v>1003</v>
      </c>
      <c r="M331" t="s">
        <v>36</v>
      </c>
      <c r="N331" t="s">
        <v>320</v>
      </c>
      <c r="O331" t="s">
        <v>1145</v>
      </c>
      <c r="P331" t="s">
        <v>212</v>
      </c>
      <c r="Q331" t="s">
        <v>1114</v>
      </c>
      <c r="R331" s="3" t="str">
        <f>HYPERLINK("..\..\Imagery\ScannedGeochron\UPb\Kerr1992Fig6b.jpg")</f>
        <v>..\..\Imagery\ScannedGeochron\UPb\Kerr1992Fig6b.jpg</v>
      </c>
      <c r="S331" t="s">
        <v>1148</v>
      </c>
    </row>
    <row r="332" spans="1:19" x14ac:dyDescent="0.25">
      <c r="A332" t="s">
        <v>1149</v>
      </c>
      <c r="B332" t="s">
        <v>1149</v>
      </c>
      <c r="C332" t="s">
        <v>21</v>
      </c>
      <c r="D332">
        <v>296617</v>
      </c>
      <c r="E332">
        <v>6054097</v>
      </c>
      <c r="F332">
        <v>21</v>
      </c>
      <c r="G332" t="s">
        <v>22</v>
      </c>
      <c r="I332" t="s">
        <v>1150</v>
      </c>
      <c r="J332" t="s">
        <v>1151</v>
      </c>
      <c r="K332">
        <v>1647</v>
      </c>
      <c r="L332" t="s">
        <v>1080</v>
      </c>
      <c r="M332" t="s">
        <v>36</v>
      </c>
      <c r="N332" t="s">
        <v>58</v>
      </c>
      <c r="O332" t="s">
        <v>634</v>
      </c>
      <c r="P332" t="s">
        <v>30</v>
      </c>
      <c r="Q332" t="s">
        <v>1114</v>
      </c>
      <c r="R332" s="3" t="str">
        <f>HYPERLINK("..\..\Imagery\ScannedGeochron\UPb\Kerr1992Fig6c.jpg")</f>
        <v>..\..\Imagery\ScannedGeochron\UPb\Kerr1992Fig6c.jpg</v>
      </c>
    </row>
    <row r="333" spans="1:19" x14ac:dyDescent="0.25">
      <c r="A333" t="s">
        <v>1152</v>
      </c>
      <c r="B333" t="s">
        <v>1152</v>
      </c>
      <c r="C333" t="s">
        <v>21</v>
      </c>
      <c r="D333">
        <v>354789</v>
      </c>
      <c r="E333">
        <v>6101102</v>
      </c>
      <c r="F333">
        <v>21</v>
      </c>
      <c r="G333" t="s">
        <v>22</v>
      </c>
      <c r="I333" t="s">
        <v>1153</v>
      </c>
      <c r="J333" t="s">
        <v>758</v>
      </c>
      <c r="K333">
        <v>1640</v>
      </c>
      <c r="L333" t="s">
        <v>1080</v>
      </c>
      <c r="M333" t="s">
        <v>36</v>
      </c>
      <c r="N333" t="s">
        <v>28</v>
      </c>
      <c r="O333" t="s">
        <v>634</v>
      </c>
      <c r="P333" t="s">
        <v>30</v>
      </c>
      <c r="Q333" t="s">
        <v>1114</v>
      </c>
      <c r="R333" s="3" t="str">
        <f>HYPERLINK("..\..\Imagery\ScannedGeochron\UPb\Kerr1992Fig6d.jpg")</f>
        <v>..\..\Imagery\ScannedGeochron\UPb\Kerr1992Fig6d.jpg</v>
      </c>
      <c r="S333" t="s">
        <v>1154</v>
      </c>
    </row>
    <row r="334" spans="1:19" x14ac:dyDescent="0.25">
      <c r="A334" t="s">
        <v>1155</v>
      </c>
      <c r="B334" t="s">
        <v>1155</v>
      </c>
      <c r="C334" t="s">
        <v>21</v>
      </c>
      <c r="D334">
        <v>378259</v>
      </c>
      <c r="E334">
        <v>6086398</v>
      </c>
      <c r="F334">
        <v>21</v>
      </c>
      <c r="G334" t="s">
        <v>22</v>
      </c>
      <c r="I334" t="s">
        <v>1156</v>
      </c>
      <c r="J334" t="s">
        <v>1157</v>
      </c>
      <c r="K334">
        <v>1802</v>
      </c>
      <c r="L334" t="s">
        <v>1003</v>
      </c>
      <c r="M334" t="s">
        <v>36</v>
      </c>
      <c r="N334" t="s">
        <v>28</v>
      </c>
      <c r="O334" t="s">
        <v>1158</v>
      </c>
      <c r="P334" t="s">
        <v>30</v>
      </c>
      <c r="Q334" t="s">
        <v>1114</v>
      </c>
      <c r="R334" s="3" t="str">
        <f>HYPERLINK("..\..\Imagery\ScannedGeochron\UPb\Kerr1992Fig4a.jpg")</f>
        <v>..\..\Imagery\ScannedGeochron\UPb\Kerr1992Fig4a.jpg</v>
      </c>
      <c r="S334" t="s">
        <v>1159</v>
      </c>
    </row>
    <row r="335" spans="1:19" x14ac:dyDescent="0.25">
      <c r="A335" t="s">
        <v>1160</v>
      </c>
      <c r="B335" t="s">
        <v>1161</v>
      </c>
      <c r="C335" t="s">
        <v>21</v>
      </c>
      <c r="D335">
        <v>596481</v>
      </c>
      <c r="E335">
        <v>5792935</v>
      </c>
      <c r="F335">
        <v>21</v>
      </c>
      <c r="G335" t="s">
        <v>22</v>
      </c>
      <c r="H335" t="s">
        <v>23</v>
      </c>
      <c r="I335" t="s">
        <v>1162</v>
      </c>
      <c r="J335" t="s">
        <v>1163</v>
      </c>
      <c r="K335">
        <v>1204</v>
      </c>
      <c r="L335" t="s">
        <v>198</v>
      </c>
      <c r="M335" t="s">
        <v>36</v>
      </c>
      <c r="N335" t="s">
        <v>28</v>
      </c>
      <c r="O335" t="s">
        <v>166</v>
      </c>
      <c r="P335" t="s">
        <v>1164</v>
      </c>
      <c r="Q335" t="s">
        <v>1165</v>
      </c>
      <c r="R335" s="3" t="str">
        <f>HYPERLINK("..\..\Imagery\ScannedGeochron\UPb\Kamo2011Fig4.jpg")</f>
        <v>..\..\Imagery\ScannedGeochron\UPb\Kamo2011Fig4.jpg</v>
      </c>
      <c r="S335" t="s">
        <v>1166</v>
      </c>
    </row>
    <row r="336" spans="1:19" x14ac:dyDescent="0.25">
      <c r="A336" t="s">
        <v>1167</v>
      </c>
      <c r="B336" t="s">
        <v>1168</v>
      </c>
      <c r="C336" t="s">
        <v>21</v>
      </c>
      <c r="D336">
        <v>596406</v>
      </c>
      <c r="E336">
        <v>5792885</v>
      </c>
      <c r="F336">
        <v>21</v>
      </c>
      <c r="G336" t="s">
        <v>22</v>
      </c>
      <c r="H336" t="s">
        <v>23</v>
      </c>
      <c r="I336" t="s">
        <v>1169</v>
      </c>
      <c r="J336" t="s">
        <v>1170</v>
      </c>
      <c r="K336">
        <v>1030</v>
      </c>
      <c r="L336" t="s">
        <v>198</v>
      </c>
      <c r="M336" t="s">
        <v>36</v>
      </c>
      <c r="N336" t="s">
        <v>58</v>
      </c>
      <c r="O336" t="s">
        <v>891</v>
      </c>
      <c r="P336" t="s">
        <v>39</v>
      </c>
      <c r="Q336" t="s">
        <v>1165</v>
      </c>
      <c r="R336" s="3" t="str">
        <f>HYPERLINK("..\..\Imagery\ScannedGeochron\UPb\Kamo2011Fig6a.jpg")</f>
        <v>..\..\Imagery\ScannedGeochron\UPb\Kamo2011Fig6a.jpg</v>
      </c>
    </row>
    <row r="337" spans="1:19" x14ac:dyDescent="0.25">
      <c r="A337" t="s">
        <v>1171</v>
      </c>
      <c r="B337" t="s">
        <v>1172</v>
      </c>
      <c r="C337" t="s">
        <v>21</v>
      </c>
      <c r="D337">
        <v>596695</v>
      </c>
      <c r="E337">
        <v>5792749</v>
      </c>
      <c r="F337">
        <v>21</v>
      </c>
      <c r="G337" t="s">
        <v>22</v>
      </c>
      <c r="H337" t="s">
        <v>23</v>
      </c>
      <c r="I337" t="s">
        <v>1173</v>
      </c>
      <c r="J337" t="s">
        <v>1174</v>
      </c>
      <c r="K337">
        <v>1024</v>
      </c>
      <c r="L337" t="s">
        <v>198</v>
      </c>
      <c r="M337" t="s">
        <v>36</v>
      </c>
      <c r="N337" t="s">
        <v>58</v>
      </c>
      <c r="O337" t="s">
        <v>902</v>
      </c>
      <c r="P337" t="s">
        <v>30</v>
      </c>
      <c r="Q337" t="s">
        <v>1165</v>
      </c>
      <c r="R337" s="3" t="str">
        <f>HYPERLINK("..\..\Imagery\ScannedGeochron\UPb\Kamo2011Fig6b.jpg")</f>
        <v>..\..\Imagery\ScannedGeochron\UPb\Kamo2011Fig6b.jpg</v>
      </c>
    </row>
    <row r="338" spans="1:19" x14ac:dyDescent="0.25">
      <c r="A338" t="s">
        <v>1171</v>
      </c>
      <c r="B338" t="s">
        <v>1175</v>
      </c>
      <c r="C338" t="s">
        <v>21</v>
      </c>
      <c r="D338">
        <v>596695</v>
      </c>
      <c r="E338">
        <v>5792749</v>
      </c>
      <c r="F338">
        <v>21</v>
      </c>
      <c r="G338" t="s">
        <v>22</v>
      </c>
      <c r="H338" t="s">
        <v>23</v>
      </c>
      <c r="I338" t="s">
        <v>1176</v>
      </c>
      <c r="J338" t="s">
        <v>1177</v>
      </c>
      <c r="K338">
        <v>1120</v>
      </c>
      <c r="L338" t="s">
        <v>198</v>
      </c>
      <c r="M338" t="s">
        <v>36</v>
      </c>
      <c r="N338" t="s">
        <v>58</v>
      </c>
      <c r="O338" t="s">
        <v>619</v>
      </c>
      <c r="P338" t="s">
        <v>97</v>
      </c>
      <c r="Q338" t="s">
        <v>1165</v>
      </c>
      <c r="R338" s="3" t="str">
        <f>HYPERLINK("..\..\Imagery\ScannedGeochron\UPb\Kamo2011Fig6c.jpg")</f>
        <v>..\..\Imagery\ScannedGeochron\UPb\Kamo2011Fig6c.jpg</v>
      </c>
      <c r="S338" t="s">
        <v>1178</v>
      </c>
    </row>
    <row r="339" spans="1:19" x14ac:dyDescent="0.25">
      <c r="A339" t="s">
        <v>1179</v>
      </c>
      <c r="B339" t="s">
        <v>1180</v>
      </c>
      <c r="C339" t="s">
        <v>21</v>
      </c>
      <c r="D339">
        <v>575599</v>
      </c>
      <c r="E339">
        <v>5756653</v>
      </c>
      <c r="F339">
        <v>21</v>
      </c>
      <c r="G339" t="s">
        <v>22</v>
      </c>
      <c r="I339" t="s">
        <v>1181</v>
      </c>
      <c r="J339" t="s">
        <v>1182</v>
      </c>
      <c r="K339">
        <v>1489</v>
      </c>
      <c r="L339" t="s">
        <v>198</v>
      </c>
      <c r="M339" t="s">
        <v>36</v>
      </c>
      <c r="N339" t="s">
        <v>104</v>
      </c>
      <c r="O339" t="s">
        <v>1183</v>
      </c>
      <c r="P339" t="s">
        <v>30</v>
      </c>
      <c r="Q339" t="s">
        <v>1184</v>
      </c>
      <c r="R339" s="3" t="str">
        <f>HYPERLINK("..\..\Imagery\ScannedGeochron\UPb\Kamo2007Fig1.jpg")</f>
        <v>..\..\Imagery\ScannedGeochron\UPb\Kamo2007Fig1.jpg</v>
      </c>
      <c r="S339" t="s">
        <v>1185</v>
      </c>
    </row>
    <row r="340" spans="1:19" x14ac:dyDescent="0.25">
      <c r="A340" t="s">
        <v>1186</v>
      </c>
      <c r="B340" t="s">
        <v>1186</v>
      </c>
      <c r="C340" t="s">
        <v>21</v>
      </c>
      <c r="D340">
        <v>399450</v>
      </c>
      <c r="E340">
        <v>6066670</v>
      </c>
      <c r="F340">
        <v>21</v>
      </c>
      <c r="G340" t="s">
        <v>22</v>
      </c>
      <c r="I340" t="s">
        <v>1143</v>
      </c>
      <c r="J340" t="s">
        <v>1144</v>
      </c>
      <c r="K340">
        <v>1649</v>
      </c>
      <c r="L340" t="s">
        <v>1003</v>
      </c>
      <c r="M340" t="s">
        <v>36</v>
      </c>
      <c r="N340" t="s">
        <v>104</v>
      </c>
      <c r="P340" t="s">
        <v>30</v>
      </c>
      <c r="Q340" t="s">
        <v>1114</v>
      </c>
      <c r="R340" s="3" t="str">
        <f>HYPERLINK("..\..\Imagery\ScannedGeochron\UPb\Kerr1992Fig6b.jpg")</f>
        <v>..\..\Imagery\ScannedGeochron\UPb\Kerr1992Fig6b.jpg</v>
      </c>
      <c r="S340" t="s">
        <v>1187</v>
      </c>
    </row>
    <row r="341" spans="1:19" x14ac:dyDescent="0.25">
      <c r="A341" t="s">
        <v>1186</v>
      </c>
      <c r="B341" t="s">
        <v>1186</v>
      </c>
      <c r="C341" t="s">
        <v>21</v>
      </c>
      <c r="D341">
        <v>399450</v>
      </c>
      <c r="E341">
        <v>6066670</v>
      </c>
      <c r="F341">
        <v>21</v>
      </c>
      <c r="G341" t="s">
        <v>22</v>
      </c>
      <c r="I341" t="s">
        <v>1143</v>
      </c>
      <c r="J341" t="s">
        <v>1147</v>
      </c>
      <c r="K341">
        <v>344</v>
      </c>
      <c r="L341" t="s">
        <v>1003</v>
      </c>
      <c r="M341" t="s">
        <v>36</v>
      </c>
      <c r="N341" t="s">
        <v>320</v>
      </c>
      <c r="P341" t="s">
        <v>212</v>
      </c>
      <c r="Q341" t="s">
        <v>1114</v>
      </c>
      <c r="R341" s="3" t="str">
        <f>HYPERLINK("..\..\Imagery\ScannedGeochron\UPb\Kerr1992Fig6b.jpg")</f>
        <v>..\..\Imagery\ScannedGeochron\UPb\Kerr1992Fig6b.jpg</v>
      </c>
      <c r="S341" t="s">
        <v>1188</v>
      </c>
    </row>
    <row r="342" spans="1:19" x14ac:dyDescent="0.25">
      <c r="A342" t="s">
        <v>1189</v>
      </c>
      <c r="B342" t="s">
        <v>1189</v>
      </c>
      <c r="C342" t="s">
        <v>21</v>
      </c>
      <c r="D342">
        <v>296550</v>
      </c>
      <c r="E342">
        <v>5798760</v>
      </c>
      <c r="F342">
        <v>21</v>
      </c>
      <c r="G342" t="s">
        <v>22</v>
      </c>
      <c r="I342" t="s">
        <v>1190</v>
      </c>
      <c r="J342" t="s">
        <v>582</v>
      </c>
      <c r="K342">
        <v>964</v>
      </c>
      <c r="L342" t="s">
        <v>198</v>
      </c>
      <c r="M342" t="s">
        <v>36</v>
      </c>
      <c r="N342" t="s">
        <v>58</v>
      </c>
      <c r="O342" t="s">
        <v>1191</v>
      </c>
      <c r="P342" t="s">
        <v>30</v>
      </c>
      <c r="Q342" t="s">
        <v>1192</v>
      </c>
      <c r="R342" s="3" t="str">
        <f>HYPERLINK("..\..\Imagery\ScannedGeochron\UPb\Jame2001Fig6.jpg")</f>
        <v>..\..\Imagery\ScannedGeochron\UPb\Jame2001Fig6.jpg</v>
      </c>
      <c r="S342" t="s">
        <v>1193</v>
      </c>
    </row>
    <row r="343" spans="1:19" x14ac:dyDescent="0.25">
      <c r="A343" t="s">
        <v>1189</v>
      </c>
      <c r="B343" t="s">
        <v>1189</v>
      </c>
      <c r="C343" t="s">
        <v>21</v>
      </c>
      <c r="D343">
        <v>296550</v>
      </c>
      <c r="E343">
        <v>5798760</v>
      </c>
      <c r="F343">
        <v>21</v>
      </c>
      <c r="G343" t="s">
        <v>22</v>
      </c>
      <c r="I343" t="s">
        <v>1190</v>
      </c>
      <c r="J343" t="s">
        <v>1194</v>
      </c>
      <c r="K343">
        <v>948</v>
      </c>
      <c r="L343" t="s">
        <v>198</v>
      </c>
      <c r="M343" t="s">
        <v>103</v>
      </c>
      <c r="N343" t="s">
        <v>104</v>
      </c>
      <c r="O343" t="s">
        <v>123</v>
      </c>
      <c r="P343" t="s">
        <v>359</v>
      </c>
      <c r="Q343" t="s">
        <v>1192</v>
      </c>
      <c r="R343" s="3" t="str">
        <f>HYPERLINK("..\..\Imagery\ScannedGeochron\UPb\Jame2001Fig6.jpg")</f>
        <v>..\..\Imagery\ScannedGeochron\UPb\Jame2001Fig6.jpg</v>
      </c>
      <c r="S343" t="s">
        <v>1195</v>
      </c>
    </row>
    <row r="344" spans="1:19" x14ac:dyDescent="0.25">
      <c r="A344" t="s">
        <v>1171</v>
      </c>
      <c r="B344" t="s">
        <v>1172</v>
      </c>
      <c r="C344" t="s">
        <v>21</v>
      </c>
      <c r="D344">
        <v>596695</v>
      </c>
      <c r="E344">
        <v>5792749</v>
      </c>
      <c r="F344">
        <v>21</v>
      </c>
      <c r="G344" t="s">
        <v>22</v>
      </c>
      <c r="H344" t="s">
        <v>23</v>
      </c>
      <c r="I344" t="s">
        <v>1173</v>
      </c>
      <c r="J344" t="s">
        <v>1196</v>
      </c>
      <c r="K344">
        <v>284</v>
      </c>
      <c r="L344" t="s">
        <v>198</v>
      </c>
      <c r="M344" t="s">
        <v>36</v>
      </c>
      <c r="N344" t="s">
        <v>320</v>
      </c>
      <c r="O344" t="s">
        <v>1197</v>
      </c>
      <c r="P344" t="s">
        <v>212</v>
      </c>
      <c r="Q344" t="s">
        <v>1165</v>
      </c>
      <c r="R344" s="3" t="str">
        <f>HYPERLINK("..\..\Imagery\ScannedGeochron\UPb\Kamo2011Fig6b.jpg")</f>
        <v>..\..\Imagery\ScannedGeochron\UPb\Kamo2011Fig6b.jpg</v>
      </c>
      <c r="S344" t="s">
        <v>928</v>
      </c>
    </row>
    <row r="345" spans="1:19" x14ac:dyDescent="0.25">
      <c r="A345" t="s">
        <v>189</v>
      </c>
      <c r="B345" t="s">
        <v>189</v>
      </c>
      <c r="C345" t="s">
        <v>21</v>
      </c>
      <c r="D345">
        <v>435845</v>
      </c>
      <c r="E345">
        <v>5876075</v>
      </c>
      <c r="F345">
        <v>21</v>
      </c>
      <c r="G345" t="s">
        <v>22</v>
      </c>
      <c r="I345" t="s">
        <v>190</v>
      </c>
      <c r="J345" t="s">
        <v>1198</v>
      </c>
      <c r="K345">
        <v>1718</v>
      </c>
      <c r="L345" t="s">
        <v>172</v>
      </c>
      <c r="M345" t="s">
        <v>36</v>
      </c>
      <c r="N345" t="s">
        <v>28</v>
      </c>
      <c r="O345" t="s">
        <v>1199</v>
      </c>
      <c r="P345" t="s">
        <v>97</v>
      </c>
      <c r="Q345" t="s">
        <v>40</v>
      </c>
      <c r="R345" s="3" t="str">
        <f>HYPERLINK("..\..\Imagery\ScannedGeochron\UPb\Scha1988Fig4b.jpg")</f>
        <v>..\..\Imagery\ScannedGeochron\UPb\Scha1988Fig4b.jpg</v>
      </c>
      <c r="S345" t="s">
        <v>193</v>
      </c>
    </row>
    <row r="346" spans="1:19" x14ac:dyDescent="0.25">
      <c r="A346" t="s">
        <v>298</v>
      </c>
      <c r="B346" t="s">
        <v>298</v>
      </c>
      <c r="C346" t="s">
        <v>21</v>
      </c>
      <c r="D346">
        <v>513821</v>
      </c>
      <c r="E346">
        <v>5882508</v>
      </c>
      <c r="F346">
        <v>21</v>
      </c>
      <c r="G346" t="s">
        <v>22</v>
      </c>
      <c r="I346" t="s">
        <v>299</v>
      </c>
      <c r="J346" t="s">
        <v>1200</v>
      </c>
      <c r="K346">
        <v>1621</v>
      </c>
      <c r="L346" t="s">
        <v>26</v>
      </c>
      <c r="M346" t="s">
        <v>263</v>
      </c>
      <c r="N346" t="s">
        <v>104</v>
      </c>
      <c r="O346" t="s">
        <v>1201</v>
      </c>
      <c r="P346" t="s">
        <v>39</v>
      </c>
      <c r="Q346" t="s">
        <v>31</v>
      </c>
      <c r="R346" s="3" t="str">
        <f>HYPERLINK("..\..\Imagery\ScannedGeochron\UPb\Kamo1996Fig11.jpg")</f>
        <v>..\..\Imagery\ScannedGeochron\UPb\Kamo1996Fig11.jpg</v>
      </c>
    </row>
    <row r="347" spans="1:19" x14ac:dyDescent="0.25">
      <c r="A347" t="s">
        <v>298</v>
      </c>
      <c r="B347" t="s">
        <v>298</v>
      </c>
      <c r="C347" t="s">
        <v>21</v>
      </c>
      <c r="D347">
        <v>513821</v>
      </c>
      <c r="E347">
        <v>5882508</v>
      </c>
      <c r="F347">
        <v>21</v>
      </c>
      <c r="G347" t="s">
        <v>22</v>
      </c>
      <c r="I347" t="s">
        <v>299</v>
      </c>
      <c r="J347" t="s">
        <v>1202</v>
      </c>
      <c r="K347">
        <v>1613</v>
      </c>
      <c r="L347" t="s">
        <v>26</v>
      </c>
      <c r="M347" t="s">
        <v>263</v>
      </c>
      <c r="N347" t="s">
        <v>104</v>
      </c>
      <c r="O347" t="s">
        <v>365</v>
      </c>
      <c r="P347" t="s">
        <v>39</v>
      </c>
      <c r="Q347" t="s">
        <v>31</v>
      </c>
      <c r="R347" s="3" t="str">
        <f>HYPERLINK("..\..\Imagery\ScannedGeochron\UPb\Kamo1996Fig11.jpg")</f>
        <v>..\..\Imagery\ScannedGeochron\UPb\Kamo1996Fig11.jpg</v>
      </c>
    </row>
    <row r="348" spans="1:19" x14ac:dyDescent="0.25">
      <c r="A348" t="s">
        <v>42</v>
      </c>
      <c r="B348" t="s">
        <v>1203</v>
      </c>
      <c r="C348" t="s">
        <v>21</v>
      </c>
      <c r="D348">
        <v>580273</v>
      </c>
      <c r="E348">
        <v>5900047</v>
      </c>
      <c r="F348">
        <v>21</v>
      </c>
      <c r="G348" t="s">
        <v>22</v>
      </c>
      <c r="H348" t="s">
        <v>23</v>
      </c>
      <c r="I348" t="s">
        <v>1204</v>
      </c>
      <c r="J348" t="s">
        <v>1205</v>
      </c>
      <c r="K348">
        <v>1615</v>
      </c>
      <c r="L348" t="s">
        <v>26</v>
      </c>
      <c r="M348" t="s">
        <v>103</v>
      </c>
      <c r="N348" t="s">
        <v>28</v>
      </c>
      <c r="O348" t="s">
        <v>1206</v>
      </c>
      <c r="P348" t="s">
        <v>39</v>
      </c>
      <c r="Q348" t="s">
        <v>31</v>
      </c>
      <c r="R348" s="3" t="str">
        <f>HYPERLINK("..\..\Imagery\ScannedGeochron\UPb\Kamo1996Fig6.jpg")</f>
        <v>..\..\Imagery\ScannedGeochron\UPb\Kamo1996Fig6.jpg</v>
      </c>
      <c r="S348" t="s">
        <v>1207</v>
      </c>
    </row>
    <row r="349" spans="1:19" x14ac:dyDescent="0.25">
      <c r="A349" t="s">
        <v>501</v>
      </c>
      <c r="B349" t="s">
        <v>502</v>
      </c>
      <c r="C349" t="s">
        <v>21</v>
      </c>
      <c r="D349">
        <v>582445</v>
      </c>
      <c r="E349">
        <v>5771571</v>
      </c>
      <c r="F349">
        <v>21</v>
      </c>
      <c r="G349" t="s">
        <v>22</v>
      </c>
      <c r="H349" t="s">
        <v>23</v>
      </c>
      <c r="I349" t="s">
        <v>503</v>
      </c>
      <c r="J349" t="s">
        <v>1208</v>
      </c>
      <c r="K349">
        <v>1478</v>
      </c>
      <c r="L349" t="s">
        <v>198</v>
      </c>
      <c r="M349" t="s">
        <v>36</v>
      </c>
      <c r="N349" t="s">
        <v>58</v>
      </c>
      <c r="O349" t="s">
        <v>1209</v>
      </c>
      <c r="P349" t="s">
        <v>97</v>
      </c>
      <c r="Q349" t="s">
        <v>456</v>
      </c>
      <c r="R349" s="3" t="str">
        <f>HYPERLINK("..\..\Imagery\ScannedGeochron\UPb\Tuck1994Fig6.jpg")</f>
        <v>..\..\Imagery\ScannedGeochron\UPb\Tuck1994Fig6.jpg</v>
      </c>
      <c r="S349" t="s">
        <v>1210</v>
      </c>
    </row>
    <row r="350" spans="1:19" x14ac:dyDescent="0.25">
      <c r="A350" t="s">
        <v>99</v>
      </c>
      <c r="B350" t="s">
        <v>747</v>
      </c>
      <c r="C350" t="s">
        <v>21</v>
      </c>
      <c r="D350">
        <v>484461</v>
      </c>
      <c r="E350">
        <v>6033363</v>
      </c>
      <c r="F350">
        <v>21</v>
      </c>
      <c r="G350" t="s">
        <v>22</v>
      </c>
      <c r="H350" t="s">
        <v>23</v>
      </c>
      <c r="I350" t="s">
        <v>748</v>
      </c>
      <c r="J350" t="s">
        <v>1211</v>
      </c>
      <c r="K350">
        <v>220</v>
      </c>
      <c r="L350" t="s">
        <v>77</v>
      </c>
      <c r="M350" t="s">
        <v>36</v>
      </c>
      <c r="N350" t="s">
        <v>320</v>
      </c>
      <c r="O350" t="s">
        <v>160</v>
      </c>
      <c r="P350" t="s">
        <v>212</v>
      </c>
      <c r="Q350" t="s">
        <v>106</v>
      </c>
      <c r="R350" s="3" t="str">
        <f>HYPERLINK("..\..\Imagery\ScannedGeochron\UPb\Krog2002Fig6.jpg")</f>
        <v>..\..\Imagery\ScannedGeochron\UPb\Krog2002Fig6.jpg</v>
      </c>
    </row>
    <row r="351" spans="1:19" x14ac:dyDescent="0.25">
      <c r="A351" t="s">
        <v>145</v>
      </c>
      <c r="B351" t="s">
        <v>146</v>
      </c>
      <c r="C351" t="s">
        <v>21</v>
      </c>
      <c r="D351">
        <v>490968</v>
      </c>
      <c r="E351">
        <v>6039407</v>
      </c>
      <c r="F351">
        <v>21</v>
      </c>
      <c r="G351" t="s">
        <v>22</v>
      </c>
      <c r="H351" t="s">
        <v>23</v>
      </c>
      <c r="I351" t="s">
        <v>147</v>
      </c>
      <c r="J351" t="s">
        <v>1212</v>
      </c>
      <c r="K351">
        <v>1037</v>
      </c>
      <c r="L351" t="s">
        <v>77</v>
      </c>
      <c r="M351" t="s">
        <v>103</v>
      </c>
      <c r="N351" t="s">
        <v>320</v>
      </c>
      <c r="O351" t="s">
        <v>149</v>
      </c>
      <c r="P351" t="s">
        <v>39</v>
      </c>
      <c r="Q351" t="s">
        <v>106</v>
      </c>
      <c r="R351" s="3" t="str">
        <f>HYPERLINK("..\..\Imagery\ScannedGeochron\UPb\Krog2002Fig4a.jpg")</f>
        <v>..\..\Imagery\ScannedGeochron\UPb\Krog2002Fig4a.jpg</v>
      </c>
      <c r="S351" t="s">
        <v>150</v>
      </c>
    </row>
    <row r="352" spans="1:19" x14ac:dyDescent="0.25">
      <c r="A352" t="s">
        <v>145</v>
      </c>
      <c r="B352" t="s">
        <v>231</v>
      </c>
      <c r="C352" t="s">
        <v>21</v>
      </c>
      <c r="D352">
        <v>490968</v>
      </c>
      <c r="E352">
        <v>6039407</v>
      </c>
      <c r="F352">
        <v>21</v>
      </c>
      <c r="G352" t="s">
        <v>22</v>
      </c>
      <c r="H352" t="s">
        <v>23</v>
      </c>
      <c r="I352" t="s">
        <v>232</v>
      </c>
      <c r="J352" t="s">
        <v>1213</v>
      </c>
      <c r="K352">
        <v>1703</v>
      </c>
      <c r="L352" t="s">
        <v>77</v>
      </c>
      <c r="M352" t="s">
        <v>103</v>
      </c>
      <c r="N352" t="s">
        <v>58</v>
      </c>
      <c r="O352" t="s">
        <v>234</v>
      </c>
      <c r="P352" t="s">
        <v>39</v>
      </c>
      <c r="Q352" t="s">
        <v>106</v>
      </c>
      <c r="R352" s="3" t="str">
        <f>HYPERLINK("..\..\Imagery\ScannedGeochron\UPb\Krog2002Fig6.jpg")</f>
        <v>..\..\Imagery\ScannedGeochron\UPb\Krog2002Fig6.jpg</v>
      </c>
      <c r="S352" t="s">
        <v>1214</v>
      </c>
    </row>
    <row r="353" spans="1:19" x14ac:dyDescent="0.25">
      <c r="A353" t="s">
        <v>145</v>
      </c>
      <c r="B353" t="s">
        <v>236</v>
      </c>
      <c r="C353" t="s">
        <v>21</v>
      </c>
      <c r="D353">
        <v>490968</v>
      </c>
      <c r="E353">
        <v>6039407</v>
      </c>
      <c r="F353">
        <v>21</v>
      </c>
      <c r="G353" t="s">
        <v>22</v>
      </c>
      <c r="H353" t="s">
        <v>23</v>
      </c>
      <c r="I353" t="s">
        <v>237</v>
      </c>
      <c r="J353" t="s">
        <v>251</v>
      </c>
      <c r="K353">
        <v>1000</v>
      </c>
      <c r="L353" t="s">
        <v>77</v>
      </c>
      <c r="M353" t="s">
        <v>263</v>
      </c>
      <c r="N353" t="s">
        <v>320</v>
      </c>
      <c r="O353" t="s">
        <v>239</v>
      </c>
      <c r="P353" t="s">
        <v>39</v>
      </c>
      <c r="Q353" t="s">
        <v>106</v>
      </c>
      <c r="R353" s="3" t="str">
        <f>HYPERLINK("..\..\Imagery\ScannedGeochron\UPb\Krog2002Fig6.jpg")</f>
        <v>..\..\Imagery\ScannedGeochron\UPb\Krog2002Fig6.jpg</v>
      </c>
      <c r="S353" t="s">
        <v>1215</v>
      </c>
    </row>
    <row r="354" spans="1:19" x14ac:dyDescent="0.25">
      <c r="A354" t="s">
        <v>535</v>
      </c>
      <c r="B354" t="s">
        <v>535</v>
      </c>
      <c r="C354" t="s">
        <v>21</v>
      </c>
      <c r="D354">
        <v>543775</v>
      </c>
      <c r="E354">
        <v>5743380</v>
      </c>
      <c r="F354">
        <v>21</v>
      </c>
      <c r="G354" t="s">
        <v>22</v>
      </c>
      <c r="I354" t="s">
        <v>536</v>
      </c>
      <c r="J354" t="s">
        <v>1216</v>
      </c>
      <c r="K354">
        <v>69</v>
      </c>
      <c r="L354" t="s">
        <v>198</v>
      </c>
      <c r="M354" t="s">
        <v>36</v>
      </c>
      <c r="N354" t="s">
        <v>320</v>
      </c>
      <c r="O354" t="s">
        <v>160</v>
      </c>
      <c r="P354" t="s">
        <v>212</v>
      </c>
      <c r="Q354" t="s">
        <v>200</v>
      </c>
      <c r="R354" s="3" t="str">
        <f>HYPERLINK("..\..\Imagery\ScannedGeochron\UPb\Heam2004Fig5a.jpg")</f>
        <v>..\..\Imagery\ScannedGeochron\UPb\Heam2004Fig5a.jpg</v>
      </c>
      <c r="S354" t="s">
        <v>1217</v>
      </c>
    </row>
    <row r="355" spans="1:19" x14ac:dyDescent="0.25">
      <c r="A355" t="s">
        <v>803</v>
      </c>
      <c r="B355" t="s">
        <v>803</v>
      </c>
      <c r="C355" t="s">
        <v>21</v>
      </c>
      <c r="D355">
        <v>369776</v>
      </c>
      <c r="E355">
        <v>5904013</v>
      </c>
      <c r="F355">
        <v>21</v>
      </c>
      <c r="G355" t="s">
        <v>22</v>
      </c>
      <c r="I355" t="s">
        <v>804</v>
      </c>
      <c r="J355" t="s">
        <v>1218</v>
      </c>
      <c r="K355">
        <v>455</v>
      </c>
      <c r="L355" t="s">
        <v>172</v>
      </c>
      <c r="M355" t="s">
        <v>36</v>
      </c>
      <c r="N355" t="s">
        <v>320</v>
      </c>
      <c r="O355" t="s">
        <v>133</v>
      </c>
      <c r="P355" t="s">
        <v>212</v>
      </c>
      <c r="Q355" t="s">
        <v>181</v>
      </c>
      <c r="R355" s="3" t="str">
        <f>HYPERLINK("..\..\Imagery\ScannedGeochron\UPb\Gowe2008Fig3d.jpg")</f>
        <v>..\..\Imagery\ScannedGeochron\UPb\Gowe2008Fig3d.jpg</v>
      </c>
    </row>
    <row r="356" spans="1:19" x14ac:dyDescent="0.25">
      <c r="A356" t="s">
        <v>793</v>
      </c>
      <c r="B356" t="s">
        <v>793</v>
      </c>
      <c r="C356" t="s">
        <v>21</v>
      </c>
      <c r="D356">
        <v>394244</v>
      </c>
      <c r="E356">
        <v>5864358</v>
      </c>
      <c r="F356">
        <v>21</v>
      </c>
      <c r="G356" t="s">
        <v>22</v>
      </c>
      <c r="I356" t="s">
        <v>794</v>
      </c>
      <c r="J356" t="s">
        <v>1219</v>
      </c>
      <c r="K356">
        <v>1500</v>
      </c>
      <c r="L356" t="s">
        <v>172</v>
      </c>
      <c r="M356" t="s">
        <v>36</v>
      </c>
      <c r="N356" t="s">
        <v>320</v>
      </c>
      <c r="O356" t="s">
        <v>160</v>
      </c>
      <c r="P356" t="s">
        <v>39</v>
      </c>
      <c r="Q356" t="s">
        <v>181</v>
      </c>
      <c r="R356" s="3" t="str">
        <f>HYPERLINK("..\..\Imagery\ScannedGeochron\UPb\Gowe2008Fig4d.jpg")</f>
        <v>..\..\Imagery\ScannedGeochron\UPb\Gowe2008Fig4d.jpg</v>
      </c>
      <c r="S356" t="s">
        <v>813</v>
      </c>
    </row>
    <row r="357" spans="1:19" x14ac:dyDescent="0.25">
      <c r="A357" t="s">
        <v>327</v>
      </c>
      <c r="B357" t="s">
        <v>328</v>
      </c>
      <c r="C357" t="s">
        <v>21</v>
      </c>
      <c r="D357">
        <v>422605</v>
      </c>
      <c r="E357">
        <v>5774107</v>
      </c>
      <c r="F357">
        <v>21</v>
      </c>
      <c r="G357" t="s">
        <v>22</v>
      </c>
      <c r="H357" t="s">
        <v>23</v>
      </c>
      <c r="I357" t="s">
        <v>329</v>
      </c>
      <c r="J357" t="s">
        <v>1220</v>
      </c>
      <c r="K357">
        <v>960</v>
      </c>
      <c r="L357" t="s">
        <v>198</v>
      </c>
      <c r="M357" t="s">
        <v>36</v>
      </c>
      <c r="N357" t="s">
        <v>320</v>
      </c>
      <c r="O357" t="s">
        <v>160</v>
      </c>
      <c r="P357" t="s">
        <v>39</v>
      </c>
      <c r="Q357" t="s">
        <v>181</v>
      </c>
      <c r="R357" s="3" t="str">
        <f>HYPERLINK("..\..\Imagery\ScannedGeochron\UPb\Gowe2008Fig5c.jpg")</f>
        <v>..\..\Imagery\ScannedGeochron\UPb\Gowe2008Fig5c.jpg</v>
      </c>
    </row>
    <row r="358" spans="1:19" x14ac:dyDescent="0.25">
      <c r="A358" t="s">
        <v>1155</v>
      </c>
      <c r="B358" t="s">
        <v>1155</v>
      </c>
      <c r="C358" t="s">
        <v>21</v>
      </c>
      <c r="D358">
        <v>378259</v>
      </c>
      <c r="E358">
        <v>6086398</v>
      </c>
      <c r="F358">
        <v>21</v>
      </c>
      <c r="G358" t="s">
        <v>22</v>
      </c>
      <c r="I358" t="s">
        <v>1156</v>
      </c>
      <c r="J358" t="s">
        <v>1221</v>
      </c>
      <c r="K358">
        <v>649</v>
      </c>
      <c r="L358" t="s">
        <v>1003</v>
      </c>
      <c r="M358" t="s">
        <v>36</v>
      </c>
      <c r="N358" t="s">
        <v>320</v>
      </c>
      <c r="O358" t="s">
        <v>1158</v>
      </c>
      <c r="P358" t="s">
        <v>212</v>
      </c>
      <c r="Q358" t="s">
        <v>1114</v>
      </c>
      <c r="R358" s="3" t="str">
        <f>HYPERLINK("..\..\Imagery\ScannedGeochron\UPb\Kerr1992Fig4a.jpg")</f>
        <v>..\..\Imagery\ScannedGeochron\UPb\Kerr1992Fig4a.jpg</v>
      </c>
      <c r="S358" t="s">
        <v>1222</v>
      </c>
    </row>
    <row r="359" spans="1:19" x14ac:dyDescent="0.25">
      <c r="A359" t="s">
        <v>65</v>
      </c>
      <c r="B359" t="s">
        <v>66</v>
      </c>
      <c r="C359" t="s">
        <v>21</v>
      </c>
      <c r="D359">
        <v>405080</v>
      </c>
      <c r="E359">
        <v>6000775</v>
      </c>
      <c r="F359">
        <v>21</v>
      </c>
      <c r="G359" t="s">
        <v>22</v>
      </c>
      <c r="I359" t="s">
        <v>67</v>
      </c>
      <c r="J359" t="s">
        <v>1223</v>
      </c>
      <c r="K359">
        <v>2653</v>
      </c>
      <c r="L359" t="s">
        <v>69</v>
      </c>
      <c r="M359" t="s">
        <v>36</v>
      </c>
      <c r="N359" t="s">
        <v>28</v>
      </c>
      <c r="O359" t="s">
        <v>70</v>
      </c>
      <c r="P359" t="s">
        <v>97</v>
      </c>
      <c r="Q359" t="s">
        <v>71</v>
      </c>
      <c r="R359" s="3" t="str">
        <f>HYPERLINK("..\..\Imagery\ScannedGeochron\UPb\Corr2000Fig5a.jpg")</f>
        <v>..\..\Imagery\ScannedGeochron\UPb\Corr2000Fig5a.jpg</v>
      </c>
      <c r="S359" t="s">
        <v>72</v>
      </c>
    </row>
    <row r="360" spans="1:19" x14ac:dyDescent="0.25">
      <c r="A360" t="s">
        <v>385</v>
      </c>
      <c r="B360" t="s">
        <v>658</v>
      </c>
      <c r="C360" t="s">
        <v>21</v>
      </c>
      <c r="D360">
        <v>585432</v>
      </c>
      <c r="E360">
        <v>5812031</v>
      </c>
      <c r="F360">
        <v>21</v>
      </c>
      <c r="G360" t="s">
        <v>22</v>
      </c>
      <c r="I360" t="s">
        <v>659</v>
      </c>
      <c r="J360" t="s">
        <v>784</v>
      </c>
      <c r="K360">
        <v>890</v>
      </c>
      <c r="L360" t="s">
        <v>69</v>
      </c>
      <c r="M360" t="s">
        <v>36</v>
      </c>
      <c r="N360" t="s">
        <v>320</v>
      </c>
      <c r="O360" t="s">
        <v>661</v>
      </c>
      <c r="P360" t="s">
        <v>212</v>
      </c>
      <c r="Q360" t="s">
        <v>389</v>
      </c>
      <c r="R360" s="3" t="str">
        <f>HYPERLINK("..\..\Imagery\ScannedGeochron\UPb\Scot1993Fig3d.jpg")</f>
        <v>..\..\Imagery\ScannedGeochron\UPb\Scot1993Fig3d.jpg</v>
      </c>
      <c r="S360" t="s">
        <v>662</v>
      </c>
    </row>
    <row r="361" spans="1:19" x14ac:dyDescent="0.25">
      <c r="A361" t="s">
        <v>385</v>
      </c>
      <c r="B361" t="s">
        <v>386</v>
      </c>
      <c r="C361" t="s">
        <v>21</v>
      </c>
      <c r="D361">
        <v>585432</v>
      </c>
      <c r="E361">
        <v>5812031</v>
      </c>
      <c r="F361">
        <v>21</v>
      </c>
      <c r="G361" t="s">
        <v>22</v>
      </c>
      <c r="I361" t="s">
        <v>387</v>
      </c>
      <c r="J361" t="s">
        <v>1121</v>
      </c>
      <c r="K361">
        <v>1800</v>
      </c>
      <c r="L361" t="s">
        <v>69</v>
      </c>
      <c r="M361" t="s">
        <v>36</v>
      </c>
      <c r="N361" t="s">
        <v>28</v>
      </c>
      <c r="O361" t="s">
        <v>52</v>
      </c>
      <c r="P361" t="s">
        <v>97</v>
      </c>
      <c r="Q361" t="s">
        <v>389</v>
      </c>
      <c r="R361" s="3" t="str">
        <f>HYPERLINK("..\..\Imagery\ScannedGeochron\UPb\Scot1993Fig3e.jpg")</f>
        <v>..\..\Imagery\ScannedGeochron\UPb\Scot1993Fig3e.jpg</v>
      </c>
      <c r="S361" t="s">
        <v>390</v>
      </c>
    </row>
    <row r="362" spans="1:19" x14ac:dyDescent="0.25">
      <c r="A362" t="s">
        <v>400</v>
      </c>
      <c r="B362" t="s">
        <v>400</v>
      </c>
      <c r="C362" t="s">
        <v>21</v>
      </c>
      <c r="D362">
        <v>570516</v>
      </c>
      <c r="E362">
        <v>5827699</v>
      </c>
      <c r="F362">
        <v>21</v>
      </c>
      <c r="G362" t="s">
        <v>22</v>
      </c>
      <c r="I362" t="s">
        <v>401</v>
      </c>
      <c r="J362" t="s">
        <v>1224</v>
      </c>
      <c r="K362">
        <v>440</v>
      </c>
      <c r="L362" t="s">
        <v>69</v>
      </c>
      <c r="M362" t="s">
        <v>36</v>
      </c>
      <c r="N362" t="s">
        <v>320</v>
      </c>
      <c r="O362" t="s">
        <v>160</v>
      </c>
      <c r="P362" t="s">
        <v>212</v>
      </c>
      <c r="Q362" t="s">
        <v>389</v>
      </c>
      <c r="R362" s="3" t="str">
        <f>HYPERLINK("..\..\Imagery\ScannedGeochron\UPb\Scot1993Fig3a.jpg")</f>
        <v>..\..\Imagery\ScannedGeochron\UPb\Scot1993Fig3a.jpg</v>
      </c>
      <c r="S362" t="s">
        <v>637</v>
      </c>
    </row>
    <row r="363" spans="1:19" x14ac:dyDescent="0.25">
      <c r="A363" t="s">
        <v>1179</v>
      </c>
      <c r="B363" t="s">
        <v>1180</v>
      </c>
      <c r="C363" t="s">
        <v>21</v>
      </c>
      <c r="D363">
        <v>575599</v>
      </c>
      <c r="E363">
        <v>5756653</v>
      </c>
      <c r="F363">
        <v>21</v>
      </c>
      <c r="G363" t="s">
        <v>22</v>
      </c>
      <c r="I363" t="s">
        <v>1181</v>
      </c>
      <c r="J363" t="s">
        <v>1225</v>
      </c>
      <c r="K363">
        <v>758</v>
      </c>
      <c r="L363" t="s">
        <v>198</v>
      </c>
      <c r="M363" t="s">
        <v>36</v>
      </c>
      <c r="N363" t="s">
        <v>320</v>
      </c>
      <c r="O363" t="s">
        <v>160</v>
      </c>
      <c r="P363" t="s">
        <v>212</v>
      </c>
      <c r="Q363" t="s">
        <v>1184</v>
      </c>
      <c r="R363" s="3" t="str">
        <f>HYPERLINK("..\..\Imagery\ScannedGeochron\UPb\Kamo2007Fig1.jpg")</f>
        <v>..\..\Imagery\ScannedGeochron\UPb\Kamo2007Fig1.jpg</v>
      </c>
    </row>
    <row r="364" spans="1:19" x14ac:dyDescent="0.25">
      <c r="A364" t="s">
        <v>1226</v>
      </c>
      <c r="B364" t="s">
        <v>1226</v>
      </c>
      <c r="C364" t="s">
        <v>21</v>
      </c>
      <c r="D364">
        <v>366738</v>
      </c>
      <c r="E364">
        <v>5954960</v>
      </c>
      <c r="F364">
        <v>21</v>
      </c>
      <c r="G364" t="s">
        <v>22</v>
      </c>
      <c r="I364" t="s">
        <v>1227</v>
      </c>
      <c r="J364" t="s">
        <v>1228</v>
      </c>
      <c r="K364">
        <v>1250</v>
      </c>
      <c r="L364" t="s">
        <v>172</v>
      </c>
      <c r="M364" t="s">
        <v>971</v>
      </c>
      <c r="N364" t="s">
        <v>1229</v>
      </c>
      <c r="P364" t="s">
        <v>30</v>
      </c>
      <c r="Q364" t="s">
        <v>1230</v>
      </c>
      <c r="R364" s="3" t="str">
        <f>HYPERLINK("..\..\Imagery\ScannedGeochron\UPb\Hami1997MealyDyke.jpg")</f>
        <v>..\..\Imagery\ScannedGeochron\UPb\Hami1997MealyDyke.jpg</v>
      </c>
    </row>
    <row r="365" spans="1:19" x14ac:dyDescent="0.25">
      <c r="A365" t="s">
        <v>1028</v>
      </c>
      <c r="B365" t="s">
        <v>1028</v>
      </c>
      <c r="C365" t="s">
        <v>21</v>
      </c>
      <c r="D365">
        <v>580000</v>
      </c>
      <c r="E365">
        <v>5801700</v>
      </c>
      <c r="F365">
        <v>21</v>
      </c>
      <c r="G365" t="s">
        <v>22</v>
      </c>
      <c r="I365" t="s">
        <v>1029</v>
      </c>
      <c r="J365" t="s">
        <v>1231</v>
      </c>
      <c r="K365">
        <v>2067</v>
      </c>
      <c r="L365" t="s">
        <v>69</v>
      </c>
      <c r="M365" t="s">
        <v>36</v>
      </c>
      <c r="N365" t="s">
        <v>28</v>
      </c>
      <c r="O365" t="s">
        <v>1031</v>
      </c>
      <c r="P365" t="s">
        <v>97</v>
      </c>
      <c r="Q365" t="s">
        <v>389</v>
      </c>
      <c r="R365" s="3" t="str">
        <f>HYPERLINK("..\..\Imagery\ScannedGeochron\UPb\Scot1993Fig3f.jpg")</f>
        <v>..\..\Imagery\ScannedGeochron\UPb\Scot1993Fig3f.jpg</v>
      </c>
      <c r="S365" t="s">
        <v>1232</v>
      </c>
    </row>
    <row r="366" spans="1:19" x14ac:dyDescent="0.25">
      <c r="A366" t="s">
        <v>1233</v>
      </c>
      <c r="B366" t="s">
        <v>1233</v>
      </c>
      <c r="C366" t="s">
        <v>21</v>
      </c>
      <c r="D366">
        <v>490235</v>
      </c>
      <c r="E366">
        <v>6041075</v>
      </c>
      <c r="F366">
        <v>21</v>
      </c>
      <c r="G366" t="s">
        <v>22</v>
      </c>
      <c r="I366" t="s">
        <v>1234</v>
      </c>
      <c r="J366" t="s">
        <v>1235</v>
      </c>
      <c r="K366">
        <v>1678</v>
      </c>
      <c r="L366" t="s">
        <v>1003</v>
      </c>
      <c r="M366" t="s">
        <v>263</v>
      </c>
      <c r="N366" t="s">
        <v>28</v>
      </c>
      <c r="O366" t="s">
        <v>1236</v>
      </c>
      <c r="P366" t="s">
        <v>39</v>
      </c>
      <c r="Q366" t="s">
        <v>106</v>
      </c>
      <c r="R366" s="3" t="str">
        <f>HYPERLINK("..\..\Imagery\ScannedGeochron\UPb\Krog2002Fig7.jpg")</f>
        <v>..\..\Imagery\ScannedGeochron\UPb\Krog2002Fig7.jpg</v>
      </c>
      <c r="S366" t="s">
        <v>1237</v>
      </c>
    </row>
    <row r="367" spans="1:19" x14ac:dyDescent="0.25">
      <c r="A367" t="s">
        <v>1233</v>
      </c>
      <c r="B367" t="s">
        <v>1233</v>
      </c>
      <c r="C367" t="s">
        <v>21</v>
      </c>
      <c r="D367">
        <v>490235</v>
      </c>
      <c r="E367">
        <v>6041075</v>
      </c>
      <c r="F367">
        <v>21</v>
      </c>
      <c r="G367" t="s">
        <v>22</v>
      </c>
      <c r="I367" t="s">
        <v>1234</v>
      </c>
      <c r="J367" t="s">
        <v>1238</v>
      </c>
      <c r="K367">
        <v>1046</v>
      </c>
      <c r="L367" t="s">
        <v>1003</v>
      </c>
      <c r="M367" t="s">
        <v>263</v>
      </c>
      <c r="N367" t="s">
        <v>320</v>
      </c>
      <c r="O367" t="s">
        <v>1236</v>
      </c>
      <c r="P367" t="s">
        <v>39</v>
      </c>
      <c r="Q367" t="s">
        <v>106</v>
      </c>
      <c r="R367" s="3" t="str">
        <f>HYPERLINK("..\..\Imagery\ScannedGeochron\UPb\Krog2002Fig7.jpg")</f>
        <v>..\..\Imagery\ScannedGeochron\UPb\Krog2002Fig7.jpg</v>
      </c>
      <c r="S367" t="s">
        <v>1239</v>
      </c>
    </row>
    <row r="368" spans="1:19" x14ac:dyDescent="0.25">
      <c r="A368" t="s">
        <v>1240</v>
      </c>
      <c r="B368" t="s">
        <v>1240</v>
      </c>
      <c r="C368" t="s">
        <v>21</v>
      </c>
      <c r="D368">
        <v>490348</v>
      </c>
      <c r="E368">
        <v>6048718</v>
      </c>
      <c r="F368">
        <v>21</v>
      </c>
      <c r="G368" t="s">
        <v>22</v>
      </c>
      <c r="I368" t="s">
        <v>1241</v>
      </c>
      <c r="J368" t="s">
        <v>1242</v>
      </c>
      <c r="K368">
        <v>1726</v>
      </c>
      <c r="L368" t="s">
        <v>1003</v>
      </c>
      <c r="M368" t="s">
        <v>103</v>
      </c>
      <c r="N368" t="s">
        <v>58</v>
      </c>
      <c r="O368" t="s">
        <v>1243</v>
      </c>
      <c r="P368" t="s">
        <v>39</v>
      </c>
      <c r="Q368" t="s">
        <v>106</v>
      </c>
      <c r="R368" s="3" t="str">
        <f>HYPERLINK("..\..\Imagery\ScannedGeochron\UPb\Krog2002Fig7.jpg")</f>
        <v>..\..\Imagery\ScannedGeochron\UPb\Krog2002Fig7.jpg</v>
      </c>
    </row>
    <row r="369" spans="1:19" x14ac:dyDescent="0.25">
      <c r="A369" t="s">
        <v>1244</v>
      </c>
      <c r="B369" t="s">
        <v>1245</v>
      </c>
      <c r="C369" t="s">
        <v>21</v>
      </c>
      <c r="D369">
        <v>582004</v>
      </c>
      <c r="E369">
        <v>5805888</v>
      </c>
      <c r="F369">
        <v>21</v>
      </c>
      <c r="G369" t="s">
        <v>22</v>
      </c>
      <c r="I369" t="s">
        <v>1246</v>
      </c>
      <c r="J369" t="s">
        <v>1247</v>
      </c>
      <c r="K369">
        <v>1057</v>
      </c>
      <c r="L369" t="s">
        <v>69</v>
      </c>
      <c r="M369" t="s">
        <v>36</v>
      </c>
      <c r="N369" t="s">
        <v>58</v>
      </c>
      <c r="O369" t="s">
        <v>382</v>
      </c>
      <c r="P369" t="s">
        <v>39</v>
      </c>
      <c r="Q369" t="s">
        <v>1248</v>
      </c>
      <c r="R369" s="3" t="str">
        <f>HYPERLINK("..\..\Imagery\ScannedGeochron\UPb\KamoCG03288E.jpg")</f>
        <v>..\..\Imagery\ScannedGeochron\UPb\KamoCG03288E.jpg</v>
      </c>
    </row>
    <row r="370" spans="1:19" x14ac:dyDescent="0.25">
      <c r="A370" t="s">
        <v>1249</v>
      </c>
      <c r="B370" t="s">
        <v>1250</v>
      </c>
      <c r="C370" t="s">
        <v>1251</v>
      </c>
      <c r="D370">
        <v>266969</v>
      </c>
      <c r="E370">
        <v>5906533</v>
      </c>
      <c r="F370">
        <v>21</v>
      </c>
      <c r="G370" t="s">
        <v>22</v>
      </c>
      <c r="I370" t="s">
        <v>1252</v>
      </c>
      <c r="J370" t="s">
        <v>1253</v>
      </c>
      <c r="K370">
        <v>1641</v>
      </c>
      <c r="L370" t="s">
        <v>172</v>
      </c>
      <c r="M370" t="s">
        <v>36</v>
      </c>
      <c r="N370" t="s">
        <v>58</v>
      </c>
      <c r="O370" t="s">
        <v>1254</v>
      </c>
      <c r="P370" t="s">
        <v>30</v>
      </c>
      <c r="Q370" t="s">
        <v>1255</v>
      </c>
      <c r="R370" s="3" t="str">
        <f>HYPERLINK("..\..\Imagery\ScannedGeochron\UPb\KamoCG11003A.jpg")</f>
        <v>..\..\Imagery\ScannedGeochron\UPb\KamoCG11003A.jpg</v>
      </c>
    </row>
    <row r="371" spans="1:19" x14ac:dyDescent="0.25">
      <c r="A371" t="s">
        <v>1256</v>
      </c>
      <c r="B371" t="s">
        <v>1256</v>
      </c>
      <c r="C371" t="s">
        <v>21</v>
      </c>
      <c r="D371">
        <v>408614</v>
      </c>
      <c r="E371">
        <v>5852516</v>
      </c>
      <c r="F371">
        <v>21</v>
      </c>
      <c r="G371" t="s">
        <v>22</v>
      </c>
      <c r="I371" t="s">
        <v>1257</v>
      </c>
      <c r="J371" t="s">
        <v>1258</v>
      </c>
      <c r="K371">
        <v>1481</v>
      </c>
      <c r="L371" t="s">
        <v>198</v>
      </c>
      <c r="M371" t="s">
        <v>36</v>
      </c>
      <c r="N371" t="s">
        <v>28</v>
      </c>
      <c r="O371" t="s">
        <v>1259</v>
      </c>
      <c r="P371" t="s">
        <v>30</v>
      </c>
      <c r="Q371" t="s">
        <v>1255</v>
      </c>
      <c r="R371" s="3" t="str">
        <f>HYPERLINK("..\..\Imagery\ScannedGeochron\UPb\KamoCG07023.jpg")</f>
        <v>..\..\Imagery\ScannedGeochron\UPb\KamoCG07023.jpg</v>
      </c>
    </row>
    <row r="372" spans="1:19" x14ac:dyDescent="0.25">
      <c r="A372" t="s">
        <v>1260</v>
      </c>
      <c r="B372" t="s">
        <v>1260</v>
      </c>
      <c r="C372" t="s">
        <v>21</v>
      </c>
      <c r="D372">
        <v>403892</v>
      </c>
      <c r="E372">
        <v>5844263</v>
      </c>
      <c r="F372">
        <v>21</v>
      </c>
      <c r="G372" t="s">
        <v>22</v>
      </c>
      <c r="I372" t="s">
        <v>1261</v>
      </c>
      <c r="J372" t="s">
        <v>1262</v>
      </c>
      <c r="K372">
        <v>1491</v>
      </c>
      <c r="L372" t="s">
        <v>198</v>
      </c>
      <c r="M372" t="s">
        <v>36</v>
      </c>
      <c r="N372" t="s">
        <v>28</v>
      </c>
      <c r="O372" t="s">
        <v>382</v>
      </c>
      <c r="P372" t="s">
        <v>30</v>
      </c>
      <c r="Q372" t="s">
        <v>1255</v>
      </c>
      <c r="R372" s="3" t="str">
        <f>HYPERLINK("..\..\Imagery\ScannedGeochron\UPb\KamoCG07027.jpg")</f>
        <v>..\..\Imagery\ScannedGeochron\UPb\KamoCG07027.jpg</v>
      </c>
    </row>
    <row r="373" spans="1:19" x14ac:dyDescent="0.25">
      <c r="A373" t="s">
        <v>1249</v>
      </c>
      <c r="B373" t="s">
        <v>1250</v>
      </c>
      <c r="C373" t="s">
        <v>1251</v>
      </c>
      <c r="D373">
        <v>267123</v>
      </c>
      <c r="E373">
        <v>5906120</v>
      </c>
      <c r="F373">
        <v>21</v>
      </c>
      <c r="G373" t="s">
        <v>22</v>
      </c>
      <c r="I373" t="s">
        <v>1252</v>
      </c>
      <c r="J373" t="s">
        <v>1263</v>
      </c>
      <c r="K373">
        <v>1710</v>
      </c>
      <c r="L373" t="s">
        <v>172</v>
      </c>
      <c r="M373" t="s">
        <v>36</v>
      </c>
      <c r="N373" t="s">
        <v>58</v>
      </c>
      <c r="O373" t="s">
        <v>1264</v>
      </c>
      <c r="P373" t="s">
        <v>97</v>
      </c>
      <c r="Q373" t="s">
        <v>1255</v>
      </c>
      <c r="R373" s="3" t="str">
        <f>HYPERLINK("..\..\Imagery\ScannedGeochron\UPb\KamoCG11003A.jpg")</f>
        <v>..\..\Imagery\ScannedGeochron\UPb\KamoCG11003A.jpg</v>
      </c>
    </row>
    <row r="374" spans="1:19" x14ac:dyDescent="0.25">
      <c r="A374" t="s">
        <v>1249</v>
      </c>
      <c r="B374" t="s">
        <v>1250</v>
      </c>
      <c r="C374" t="s">
        <v>1251</v>
      </c>
      <c r="D374">
        <v>267123</v>
      </c>
      <c r="E374">
        <v>5906120</v>
      </c>
      <c r="F374">
        <v>21</v>
      </c>
      <c r="G374" t="s">
        <v>22</v>
      </c>
      <c r="I374" t="s">
        <v>1252</v>
      </c>
      <c r="J374" t="s">
        <v>1265</v>
      </c>
      <c r="K374">
        <v>1685</v>
      </c>
      <c r="L374" t="s">
        <v>172</v>
      </c>
      <c r="M374" t="s">
        <v>36</v>
      </c>
      <c r="N374" t="s">
        <v>58</v>
      </c>
      <c r="O374" t="s">
        <v>1266</v>
      </c>
      <c r="P374" t="s">
        <v>97</v>
      </c>
      <c r="Q374" t="s">
        <v>1255</v>
      </c>
      <c r="R374" s="3" t="str">
        <f>HYPERLINK("..\..\Imagery\ScannedGeochron\UPb\KamoCG11003A.jpg")</f>
        <v>..\..\Imagery\ScannedGeochron\UPb\KamoCG11003A.jpg</v>
      </c>
      <c r="S374" t="s">
        <v>1267</v>
      </c>
    </row>
    <row r="375" spans="1:19" x14ac:dyDescent="0.25">
      <c r="A375" t="s">
        <v>1256</v>
      </c>
      <c r="B375" t="s">
        <v>1256</v>
      </c>
      <c r="C375" t="s">
        <v>21</v>
      </c>
      <c r="D375">
        <v>408614</v>
      </c>
      <c r="E375">
        <v>5852516</v>
      </c>
      <c r="F375">
        <v>21</v>
      </c>
      <c r="G375" t="s">
        <v>22</v>
      </c>
      <c r="I375" t="s">
        <v>1257</v>
      </c>
      <c r="J375" t="s">
        <v>1268</v>
      </c>
      <c r="K375">
        <v>985</v>
      </c>
      <c r="L375" t="s">
        <v>198</v>
      </c>
      <c r="M375" t="s">
        <v>36</v>
      </c>
      <c r="N375" t="s">
        <v>320</v>
      </c>
      <c r="O375" t="s">
        <v>1259</v>
      </c>
      <c r="P375" t="s">
        <v>359</v>
      </c>
      <c r="Q375" t="s">
        <v>1255</v>
      </c>
      <c r="R375" s="3" t="str">
        <f>HYPERLINK("..\..\Imagery\ScannedGeochron\UPb\KamoCG07023.jpg")</f>
        <v>..\..\Imagery\ScannedGeochron\UPb\KamoCG07023.jpg</v>
      </c>
    </row>
    <row r="376" spans="1:19" x14ac:dyDescent="0.25">
      <c r="A376" t="s">
        <v>1260</v>
      </c>
      <c r="B376" t="s">
        <v>1260</v>
      </c>
      <c r="C376" t="s">
        <v>21</v>
      </c>
      <c r="D376">
        <v>403892</v>
      </c>
      <c r="E376">
        <v>5844263</v>
      </c>
      <c r="F376">
        <v>21</v>
      </c>
      <c r="G376" t="s">
        <v>22</v>
      </c>
      <c r="I376" t="s">
        <v>1261</v>
      </c>
      <c r="J376" t="s">
        <v>1269</v>
      </c>
      <c r="K376">
        <v>1060</v>
      </c>
      <c r="L376" t="s">
        <v>198</v>
      </c>
      <c r="M376" t="s">
        <v>36</v>
      </c>
      <c r="N376" t="s">
        <v>320</v>
      </c>
      <c r="O376" t="s">
        <v>382</v>
      </c>
      <c r="P376" t="s">
        <v>39</v>
      </c>
      <c r="Q376" t="s">
        <v>1255</v>
      </c>
      <c r="R376" s="3" t="str">
        <f>HYPERLINK("..\..\Imagery\ScannedGeochron\UPb\KamoCG07027.jpg")</f>
        <v>..\..\Imagery\ScannedGeochron\UPb\KamoCG07027.jpg</v>
      </c>
    </row>
    <row r="377" spans="1:19" x14ac:dyDescent="0.25">
      <c r="A377" t="s">
        <v>1270</v>
      </c>
      <c r="B377" t="s">
        <v>1270</v>
      </c>
      <c r="C377" t="s">
        <v>21</v>
      </c>
      <c r="D377">
        <v>393312</v>
      </c>
      <c r="E377">
        <v>6070275</v>
      </c>
      <c r="F377">
        <v>21</v>
      </c>
      <c r="G377" t="s">
        <v>22</v>
      </c>
      <c r="I377" t="s">
        <v>1271</v>
      </c>
      <c r="J377" t="s">
        <v>1272</v>
      </c>
      <c r="K377">
        <v>140</v>
      </c>
      <c r="L377" t="s">
        <v>1273</v>
      </c>
      <c r="M377" t="s">
        <v>36</v>
      </c>
      <c r="N377" t="s">
        <v>320</v>
      </c>
      <c r="O377" t="s">
        <v>1274</v>
      </c>
      <c r="P377" t="s">
        <v>212</v>
      </c>
      <c r="Q377" t="s">
        <v>1275</v>
      </c>
    </row>
    <row r="378" spans="1:19" x14ac:dyDescent="0.25">
      <c r="A378" t="s">
        <v>1276</v>
      </c>
      <c r="B378" t="s">
        <v>1276</v>
      </c>
      <c r="C378" t="s">
        <v>21</v>
      </c>
      <c r="D378">
        <v>358000</v>
      </c>
      <c r="E378">
        <v>6106700</v>
      </c>
      <c r="F378">
        <v>21</v>
      </c>
      <c r="G378" t="s">
        <v>22</v>
      </c>
      <c r="I378" t="s">
        <v>1277</v>
      </c>
      <c r="J378" t="s">
        <v>1278</v>
      </c>
      <c r="K378">
        <v>1861</v>
      </c>
      <c r="L378" t="s">
        <v>1080</v>
      </c>
      <c r="M378" t="s">
        <v>36</v>
      </c>
      <c r="N378" t="s">
        <v>104</v>
      </c>
      <c r="O378" t="s">
        <v>562</v>
      </c>
      <c r="P378" t="s">
        <v>30</v>
      </c>
      <c r="Q378" t="s">
        <v>1279</v>
      </c>
    </row>
    <row r="379" spans="1:19" x14ac:dyDescent="0.25">
      <c r="A379" t="s">
        <v>1280</v>
      </c>
      <c r="B379" t="s">
        <v>1280</v>
      </c>
      <c r="C379" t="s">
        <v>21</v>
      </c>
      <c r="D379">
        <v>341534</v>
      </c>
      <c r="E379">
        <v>6067682</v>
      </c>
      <c r="F379">
        <v>21</v>
      </c>
      <c r="G379" t="s">
        <v>22</v>
      </c>
      <c r="I379" t="s">
        <v>1281</v>
      </c>
      <c r="J379" t="s">
        <v>1282</v>
      </c>
      <c r="K379">
        <v>1807</v>
      </c>
      <c r="L379" t="s">
        <v>1080</v>
      </c>
      <c r="M379" t="s">
        <v>36</v>
      </c>
      <c r="N379" t="s">
        <v>104</v>
      </c>
      <c r="O379" t="s">
        <v>1283</v>
      </c>
      <c r="P379" t="s">
        <v>30</v>
      </c>
      <c r="Q379" t="s">
        <v>1279</v>
      </c>
    </row>
    <row r="380" spans="1:19" x14ac:dyDescent="0.25">
      <c r="A380" t="s">
        <v>1284</v>
      </c>
      <c r="B380" t="s">
        <v>1285</v>
      </c>
      <c r="C380" t="s">
        <v>21</v>
      </c>
      <c r="D380">
        <v>363622</v>
      </c>
      <c r="E380">
        <v>5954671</v>
      </c>
      <c r="F380">
        <v>21</v>
      </c>
      <c r="G380" t="s">
        <v>22</v>
      </c>
      <c r="I380" t="s">
        <v>1286</v>
      </c>
      <c r="J380" t="s">
        <v>1287</v>
      </c>
      <c r="K380">
        <v>1654</v>
      </c>
      <c r="L380" t="s">
        <v>172</v>
      </c>
      <c r="M380" t="s">
        <v>36</v>
      </c>
      <c r="N380" t="s">
        <v>28</v>
      </c>
      <c r="O380" t="s">
        <v>70</v>
      </c>
      <c r="P380" t="s">
        <v>30</v>
      </c>
      <c r="Q380" t="s">
        <v>1288</v>
      </c>
    </row>
    <row r="381" spans="1:19" x14ac:dyDescent="0.25">
      <c r="A381" t="s">
        <v>1289</v>
      </c>
      <c r="B381" t="s">
        <v>1290</v>
      </c>
      <c r="C381" t="s">
        <v>21</v>
      </c>
      <c r="D381">
        <v>374502</v>
      </c>
      <c r="E381">
        <v>5947953</v>
      </c>
      <c r="F381">
        <v>21</v>
      </c>
      <c r="G381" t="s">
        <v>22</v>
      </c>
      <c r="I381" t="s">
        <v>1286</v>
      </c>
      <c r="J381" t="s">
        <v>1291</v>
      </c>
      <c r="K381">
        <v>1647</v>
      </c>
      <c r="L381" t="s">
        <v>172</v>
      </c>
      <c r="M381" t="s">
        <v>36</v>
      </c>
      <c r="N381" t="s">
        <v>28</v>
      </c>
      <c r="O381" t="s">
        <v>70</v>
      </c>
      <c r="P381" t="s">
        <v>30</v>
      </c>
      <c r="Q381" t="s">
        <v>1288</v>
      </c>
    </row>
    <row r="382" spans="1:19" x14ac:dyDescent="0.25">
      <c r="A382" t="s">
        <v>1292</v>
      </c>
      <c r="B382" t="s">
        <v>1293</v>
      </c>
      <c r="C382" t="s">
        <v>21</v>
      </c>
      <c r="D382">
        <v>364560</v>
      </c>
      <c r="E382">
        <v>5963065</v>
      </c>
      <c r="F382">
        <v>21</v>
      </c>
      <c r="G382" t="s">
        <v>22</v>
      </c>
      <c r="I382" t="s">
        <v>1286</v>
      </c>
      <c r="J382" t="s">
        <v>1294</v>
      </c>
      <c r="K382">
        <v>1638</v>
      </c>
      <c r="L382" t="s">
        <v>172</v>
      </c>
      <c r="M382" t="s">
        <v>36</v>
      </c>
      <c r="N382" t="s">
        <v>104</v>
      </c>
      <c r="O382" t="s">
        <v>1295</v>
      </c>
      <c r="P382" t="s">
        <v>30</v>
      </c>
      <c r="Q382" t="s">
        <v>1288</v>
      </c>
      <c r="S382" t="s">
        <v>1296</v>
      </c>
    </row>
    <row r="383" spans="1:19" x14ac:dyDescent="0.25">
      <c r="A383" t="s">
        <v>1297</v>
      </c>
      <c r="B383" t="s">
        <v>1298</v>
      </c>
      <c r="C383" t="s">
        <v>21</v>
      </c>
      <c r="D383">
        <v>363760</v>
      </c>
      <c r="E383">
        <v>5938499</v>
      </c>
      <c r="F383">
        <v>21</v>
      </c>
      <c r="G383" t="s">
        <v>22</v>
      </c>
      <c r="I383" t="s">
        <v>1286</v>
      </c>
      <c r="J383" t="s">
        <v>1299</v>
      </c>
      <c r="K383">
        <v>1633</v>
      </c>
      <c r="L383" t="s">
        <v>172</v>
      </c>
      <c r="M383" t="s">
        <v>36</v>
      </c>
      <c r="N383" t="s">
        <v>104</v>
      </c>
      <c r="O383" t="s">
        <v>1300</v>
      </c>
      <c r="P383" t="s">
        <v>30</v>
      </c>
      <c r="Q383" t="s">
        <v>1288</v>
      </c>
      <c r="S383" t="s">
        <v>1296</v>
      </c>
    </row>
    <row r="384" spans="1:19" x14ac:dyDescent="0.25">
      <c r="A384" t="s">
        <v>1301</v>
      </c>
      <c r="B384" t="s">
        <v>1301</v>
      </c>
      <c r="C384" t="s">
        <v>21</v>
      </c>
      <c r="D384">
        <v>374499</v>
      </c>
      <c r="E384">
        <v>5934158</v>
      </c>
      <c r="F384">
        <v>21</v>
      </c>
      <c r="G384" t="s">
        <v>22</v>
      </c>
      <c r="I384" t="s">
        <v>1302</v>
      </c>
      <c r="J384" t="s">
        <v>1303</v>
      </c>
      <c r="K384">
        <v>1628</v>
      </c>
      <c r="L384" t="s">
        <v>172</v>
      </c>
      <c r="M384" t="s">
        <v>36</v>
      </c>
      <c r="N384" t="s">
        <v>104</v>
      </c>
      <c r="O384" t="s">
        <v>70</v>
      </c>
      <c r="P384" t="s">
        <v>30</v>
      </c>
      <c r="Q384" t="s">
        <v>1288</v>
      </c>
    </row>
    <row r="385" spans="1:19" x14ac:dyDescent="0.25">
      <c r="A385" t="s">
        <v>1284</v>
      </c>
      <c r="B385" t="s">
        <v>1285</v>
      </c>
      <c r="C385" t="s">
        <v>21</v>
      </c>
      <c r="D385">
        <v>363622</v>
      </c>
      <c r="E385">
        <v>5954671</v>
      </c>
      <c r="F385">
        <v>21</v>
      </c>
      <c r="G385" t="s">
        <v>22</v>
      </c>
      <c r="I385" t="s">
        <v>1286</v>
      </c>
      <c r="J385" t="s">
        <v>1304</v>
      </c>
      <c r="K385">
        <v>1099</v>
      </c>
      <c r="L385" t="s">
        <v>172</v>
      </c>
      <c r="M385" t="s">
        <v>36</v>
      </c>
      <c r="N385" t="s">
        <v>28</v>
      </c>
      <c r="O385" t="s">
        <v>70</v>
      </c>
      <c r="P385" t="s">
        <v>212</v>
      </c>
      <c r="Q385" t="s">
        <v>1288</v>
      </c>
    </row>
    <row r="386" spans="1:19" x14ac:dyDescent="0.25">
      <c r="A386" t="s">
        <v>1289</v>
      </c>
      <c r="B386" t="s">
        <v>1290</v>
      </c>
      <c r="C386" t="s">
        <v>21</v>
      </c>
      <c r="D386">
        <v>374502</v>
      </c>
      <c r="E386">
        <v>5947953</v>
      </c>
      <c r="F386">
        <v>21</v>
      </c>
      <c r="G386" t="s">
        <v>22</v>
      </c>
      <c r="I386" t="s">
        <v>1286</v>
      </c>
      <c r="J386" t="s">
        <v>1305</v>
      </c>
      <c r="K386">
        <v>1081</v>
      </c>
      <c r="L386" t="s">
        <v>172</v>
      </c>
      <c r="M386" t="s">
        <v>36</v>
      </c>
      <c r="N386" t="s">
        <v>28</v>
      </c>
      <c r="O386" t="s">
        <v>70</v>
      </c>
      <c r="P386" t="s">
        <v>212</v>
      </c>
      <c r="Q386" t="s">
        <v>1288</v>
      </c>
    </row>
    <row r="387" spans="1:19" x14ac:dyDescent="0.25">
      <c r="A387" t="s">
        <v>1292</v>
      </c>
      <c r="B387" t="s">
        <v>1293</v>
      </c>
      <c r="C387" t="s">
        <v>21</v>
      </c>
      <c r="D387">
        <v>364560</v>
      </c>
      <c r="E387">
        <v>5963065</v>
      </c>
      <c r="F387">
        <v>21</v>
      </c>
      <c r="G387" t="s">
        <v>22</v>
      </c>
      <c r="I387" t="s">
        <v>1286</v>
      </c>
      <c r="J387" t="s">
        <v>1306</v>
      </c>
      <c r="K387">
        <v>1138</v>
      </c>
      <c r="L387" t="s">
        <v>172</v>
      </c>
      <c r="M387" t="s">
        <v>36</v>
      </c>
      <c r="N387" t="s">
        <v>104</v>
      </c>
      <c r="O387" t="s">
        <v>1295</v>
      </c>
      <c r="P387" t="s">
        <v>212</v>
      </c>
      <c r="Q387" t="s">
        <v>1288</v>
      </c>
    </row>
    <row r="388" spans="1:19" x14ac:dyDescent="0.25">
      <c r="A388" t="s">
        <v>1297</v>
      </c>
      <c r="B388" t="s">
        <v>1298</v>
      </c>
      <c r="C388" t="s">
        <v>21</v>
      </c>
      <c r="D388">
        <v>363760</v>
      </c>
      <c r="E388">
        <v>5938499</v>
      </c>
      <c r="F388">
        <v>21</v>
      </c>
      <c r="G388" t="s">
        <v>22</v>
      </c>
      <c r="I388" t="s">
        <v>1286</v>
      </c>
      <c r="J388" t="s">
        <v>1307</v>
      </c>
      <c r="K388">
        <v>106</v>
      </c>
      <c r="L388" t="s">
        <v>172</v>
      </c>
      <c r="M388" t="s">
        <v>36</v>
      </c>
      <c r="N388" t="s">
        <v>104</v>
      </c>
      <c r="O388" t="s">
        <v>1300</v>
      </c>
      <c r="P388" t="s">
        <v>212</v>
      </c>
      <c r="Q388" t="s">
        <v>1288</v>
      </c>
    </row>
    <row r="389" spans="1:19" x14ac:dyDescent="0.25">
      <c r="A389" t="s">
        <v>1301</v>
      </c>
      <c r="B389" t="s">
        <v>1301</v>
      </c>
      <c r="C389" t="s">
        <v>21</v>
      </c>
      <c r="D389">
        <v>374499</v>
      </c>
      <c r="E389">
        <v>5934158</v>
      </c>
      <c r="F389">
        <v>21</v>
      </c>
      <c r="G389" t="s">
        <v>22</v>
      </c>
      <c r="I389" t="s">
        <v>1302</v>
      </c>
      <c r="J389" t="s">
        <v>1308</v>
      </c>
      <c r="K389">
        <v>1119</v>
      </c>
      <c r="L389" t="s">
        <v>172</v>
      </c>
      <c r="M389" t="s">
        <v>36</v>
      </c>
      <c r="N389" t="s">
        <v>104</v>
      </c>
      <c r="O389" t="s">
        <v>70</v>
      </c>
      <c r="P389" t="s">
        <v>212</v>
      </c>
      <c r="Q389" t="s">
        <v>1288</v>
      </c>
    </row>
    <row r="390" spans="1:19" x14ac:dyDescent="0.25">
      <c r="A390" t="s">
        <v>1309</v>
      </c>
      <c r="B390" t="s">
        <v>1309</v>
      </c>
      <c r="C390" t="s">
        <v>21</v>
      </c>
      <c r="D390">
        <v>349522</v>
      </c>
      <c r="E390">
        <v>6095735</v>
      </c>
      <c r="F390">
        <v>21</v>
      </c>
      <c r="G390" t="s">
        <v>22</v>
      </c>
      <c r="I390" t="s">
        <v>1310</v>
      </c>
      <c r="J390" t="s">
        <v>1311</v>
      </c>
      <c r="K390">
        <v>1852</v>
      </c>
      <c r="L390" t="s">
        <v>1080</v>
      </c>
      <c r="M390" t="s">
        <v>36</v>
      </c>
      <c r="N390" t="s">
        <v>58</v>
      </c>
      <c r="O390" t="s">
        <v>1312</v>
      </c>
      <c r="P390" t="s">
        <v>30</v>
      </c>
      <c r="Q390" t="s">
        <v>1313</v>
      </c>
      <c r="S390" t="s">
        <v>1314</v>
      </c>
    </row>
    <row r="391" spans="1:19" x14ac:dyDescent="0.25">
      <c r="A391" t="s">
        <v>1315</v>
      </c>
      <c r="B391" t="s">
        <v>1315</v>
      </c>
      <c r="C391" t="s">
        <v>21</v>
      </c>
      <c r="D391">
        <v>350238</v>
      </c>
      <c r="E391">
        <v>6095217</v>
      </c>
      <c r="F391">
        <v>21</v>
      </c>
      <c r="G391" t="s">
        <v>22</v>
      </c>
      <c r="I391" t="s">
        <v>1316</v>
      </c>
      <c r="J391" t="s">
        <v>1317</v>
      </c>
      <c r="K391">
        <v>1805</v>
      </c>
      <c r="L391" t="s">
        <v>1080</v>
      </c>
      <c r="M391" t="s">
        <v>36</v>
      </c>
      <c r="N391" t="s">
        <v>58</v>
      </c>
      <c r="O391" t="s">
        <v>1318</v>
      </c>
      <c r="P391" t="s">
        <v>30</v>
      </c>
      <c r="Q391" t="s">
        <v>1313</v>
      </c>
      <c r="S391" t="s">
        <v>1314</v>
      </c>
    </row>
    <row r="392" spans="1:19" x14ac:dyDescent="0.25">
      <c r="A392" t="s">
        <v>1319</v>
      </c>
      <c r="B392" t="s">
        <v>1319</v>
      </c>
      <c r="C392" t="s">
        <v>21</v>
      </c>
      <c r="D392">
        <v>374833</v>
      </c>
      <c r="E392">
        <v>6110674</v>
      </c>
      <c r="F392">
        <v>21</v>
      </c>
      <c r="G392" t="s">
        <v>22</v>
      </c>
      <c r="I392" t="s">
        <v>1320</v>
      </c>
      <c r="J392" t="s">
        <v>1321</v>
      </c>
      <c r="K392">
        <v>1862</v>
      </c>
      <c r="L392" t="s">
        <v>1080</v>
      </c>
      <c r="M392" t="s">
        <v>36</v>
      </c>
      <c r="N392" t="s">
        <v>58</v>
      </c>
      <c r="O392" t="s">
        <v>1322</v>
      </c>
      <c r="P392" t="s">
        <v>30</v>
      </c>
      <c r="Q392" t="s">
        <v>1313</v>
      </c>
      <c r="S392" t="s">
        <v>1314</v>
      </c>
    </row>
    <row r="393" spans="1:19" x14ac:dyDescent="0.25">
      <c r="A393" t="s">
        <v>1323</v>
      </c>
      <c r="B393" t="s">
        <v>1323</v>
      </c>
      <c r="C393" t="s">
        <v>21</v>
      </c>
      <c r="D393">
        <v>374966</v>
      </c>
      <c r="E393">
        <v>6108597</v>
      </c>
      <c r="F393">
        <v>21</v>
      </c>
      <c r="G393" t="s">
        <v>22</v>
      </c>
      <c r="I393" t="s">
        <v>1324</v>
      </c>
      <c r="J393" t="s">
        <v>1325</v>
      </c>
      <c r="K393">
        <v>1861</v>
      </c>
      <c r="L393" t="s">
        <v>1080</v>
      </c>
      <c r="M393" t="s">
        <v>36</v>
      </c>
      <c r="N393" t="s">
        <v>58</v>
      </c>
      <c r="O393" t="s">
        <v>1326</v>
      </c>
      <c r="P393" t="s">
        <v>30</v>
      </c>
      <c r="Q393" t="s">
        <v>1313</v>
      </c>
      <c r="S393" t="s">
        <v>1314</v>
      </c>
    </row>
    <row r="394" spans="1:19" x14ac:dyDescent="0.25">
      <c r="A394" t="s">
        <v>1327</v>
      </c>
      <c r="B394" t="s">
        <v>1327</v>
      </c>
      <c r="C394" t="s">
        <v>21</v>
      </c>
      <c r="D394">
        <v>374271</v>
      </c>
      <c r="E394">
        <v>6110608</v>
      </c>
      <c r="F394">
        <v>21</v>
      </c>
      <c r="G394" t="s">
        <v>22</v>
      </c>
      <c r="I394" t="s">
        <v>1320</v>
      </c>
      <c r="J394" t="s">
        <v>1328</v>
      </c>
      <c r="K394">
        <v>1854</v>
      </c>
      <c r="L394" t="s">
        <v>1080</v>
      </c>
      <c r="M394" t="s">
        <v>36</v>
      </c>
      <c r="N394" t="s">
        <v>58</v>
      </c>
      <c r="O394" t="s">
        <v>1326</v>
      </c>
      <c r="P394" t="s">
        <v>30</v>
      </c>
      <c r="Q394" t="s">
        <v>1313</v>
      </c>
      <c r="S394" t="s">
        <v>1314</v>
      </c>
    </row>
    <row r="395" spans="1:19" x14ac:dyDescent="0.25">
      <c r="A395" t="s">
        <v>1270</v>
      </c>
      <c r="B395" t="s">
        <v>1270</v>
      </c>
      <c r="C395" t="s">
        <v>21</v>
      </c>
      <c r="D395">
        <v>393366</v>
      </c>
      <c r="E395">
        <v>6070271</v>
      </c>
      <c r="F395">
        <v>21</v>
      </c>
      <c r="G395" t="s">
        <v>22</v>
      </c>
      <c r="I395" t="s">
        <v>1329</v>
      </c>
      <c r="J395" t="s">
        <v>1330</v>
      </c>
      <c r="K395">
        <v>1855</v>
      </c>
      <c r="L395" t="s">
        <v>1003</v>
      </c>
      <c r="M395" t="s">
        <v>36</v>
      </c>
      <c r="N395" t="s">
        <v>58</v>
      </c>
      <c r="O395" t="s">
        <v>1274</v>
      </c>
      <c r="P395" t="s">
        <v>30</v>
      </c>
      <c r="Q395" t="s">
        <v>1331</v>
      </c>
    </row>
    <row r="396" spans="1:19" x14ac:dyDescent="0.25">
      <c r="A396" t="s">
        <v>1332</v>
      </c>
      <c r="B396" t="s">
        <v>1332</v>
      </c>
      <c r="C396" t="s">
        <v>21</v>
      </c>
      <c r="D396">
        <v>370566</v>
      </c>
      <c r="E396">
        <v>6102750</v>
      </c>
      <c r="F396">
        <v>21</v>
      </c>
      <c r="G396" t="s">
        <v>22</v>
      </c>
      <c r="I396" t="s">
        <v>1333</v>
      </c>
      <c r="J396" t="s">
        <v>1334</v>
      </c>
      <c r="K396">
        <v>1858</v>
      </c>
      <c r="L396" t="s">
        <v>1080</v>
      </c>
      <c r="M396" t="s">
        <v>36</v>
      </c>
      <c r="P396" t="s">
        <v>30</v>
      </c>
      <c r="Q396" t="s">
        <v>1335</v>
      </c>
      <c r="S396" t="s">
        <v>1314</v>
      </c>
    </row>
    <row r="397" spans="1:19" x14ac:dyDescent="0.25">
      <c r="A397" t="s">
        <v>1336</v>
      </c>
      <c r="B397" t="s">
        <v>1336</v>
      </c>
      <c r="C397" t="s">
        <v>21</v>
      </c>
      <c r="D397">
        <v>351633</v>
      </c>
      <c r="E397">
        <v>6110740</v>
      </c>
      <c r="F397">
        <v>21</v>
      </c>
      <c r="G397" t="s">
        <v>22</v>
      </c>
      <c r="I397" t="s">
        <v>1333</v>
      </c>
      <c r="J397" t="s">
        <v>1337</v>
      </c>
      <c r="K397">
        <v>1883</v>
      </c>
      <c r="L397" t="s">
        <v>1080</v>
      </c>
      <c r="M397" t="s">
        <v>36</v>
      </c>
      <c r="P397" t="s">
        <v>30</v>
      </c>
      <c r="Q397" t="s">
        <v>1335</v>
      </c>
      <c r="S397" t="s">
        <v>1314</v>
      </c>
    </row>
    <row r="398" spans="1:19" x14ac:dyDescent="0.25">
      <c r="A398" t="s">
        <v>1338</v>
      </c>
      <c r="B398" t="s">
        <v>1338</v>
      </c>
      <c r="C398" t="s">
        <v>21</v>
      </c>
      <c r="D398">
        <v>365599</v>
      </c>
      <c r="E398">
        <v>6109030</v>
      </c>
      <c r="F398">
        <v>21</v>
      </c>
      <c r="G398" t="s">
        <v>22</v>
      </c>
      <c r="I398" t="s">
        <v>1339</v>
      </c>
      <c r="J398" t="s">
        <v>1340</v>
      </c>
      <c r="K398">
        <v>1876</v>
      </c>
      <c r="L398" t="s">
        <v>1080</v>
      </c>
      <c r="M398" t="s">
        <v>36</v>
      </c>
      <c r="P398" t="s">
        <v>30</v>
      </c>
      <c r="Q398" t="s">
        <v>1335</v>
      </c>
      <c r="S398" t="s">
        <v>1314</v>
      </c>
    </row>
    <row r="399" spans="1:19" x14ac:dyDescent="0.25">
      <c r="A399" t="s">
        <v>1341</v>
      </c>
      <c r="B399" t="s">
        <v>1341</v>
      </c>
      <c r="C399" t="s">
        <v>21</v>
      </c>
      <c r="D399">
        <v>306803</v>
      </c>
      <c r="E399">
        <v>6055415</v>
      </c>
      <c r="F399">
        <v>21</v>
      </c>
      <c r="G399" t="s">
        <v>22</v>
      </c>
      <c r="I399" t="s">
        <v>1342</v>
      </c>
      <c r="J399" t="s">
        <v>1343</v>
      </c>
      <c r="K399">
        <v>1856</v>
      </c>
      <c r="L399" t="s">
        <v>1080</v>
      </c>
      <c r="M399" t="s">
        <v>36</v>
      </c>
      <c r="N399" t="s">
        <v>58</v>
      </c>
      <c r="O399" t="s">
        <v>1344</v>
      </c>
      <c r="P399" t="s">
        <v>30</v>
      </c>
      <c r="Q399" t="s">
        <v>1279</v>
      </c>
    </row>
    <row r="400" spans="1:19" x14ac:dyDescent="0.25">
      <c r="A400" t="s">
        <v>1345</v>
      </c>
      <c r="B400" t="s">
        <v>1345</v>
      </c>
      <c r="C400" t="s">
        <v>21</v>
      </c>
      <c r="D400">
        <v>340475</v>
      </c>
      <c r="E400">
        <v>6097407</v>
      </c>
      <c r="F400">
        <v>21</v>
      </c>
      <c r="G400" t="s">
        <v>22</v>
      </c>
      <c r="I400" t="s">
        <v>1346</v>
      </c>
      <c r="J400" t="s">
        <v>1347</v>
      </c>
      <c r="K400">
        <v>2018</v>
      </c>
      <c r="L400" t="s">
        <v>1126</v>
      </c>
      <c r="M400" t="s">
        <v>36</v>
      </c>
      <c r="N400" t="s">
        <v>104</v>
      </c>
      <c r="O400" t="s">
        <v>1095</v>
      </c>
      <c r="P400" t="s">
        <v>30</v>
      </c>
      <c r="Q400" t="s">
        <v>1348</v>
      </c>
    </row>
    <row r="401" spans="1:19" x14ac:dyDescent="0.25">
      <c r="A401" t="s">
        <v>1349</v>
      </c>
      <c r="B401" t="s">
        <v>1349</v>
      </c>
      <c r="C401" t="s">
        <v>21</v>
      </c>
      <c r="D401">
        <v>307146</v>
      </c>
      <c r="E401">
        <v>6051898</v>
      </c>
      <c r="F401">
        <v>21</v>
      </c>
      <c r="G401" t="s">
        <v>22</v>
      </c>
      <c r="I401" t="s">
        <v>1350</v>
      </c>
      <c r="J401" t="s">
        <v>1351</v>
      </c>
      <c r="K401">
        <v>1858</v>
      </c>
      <c r="L401" t="s">
        <v>1080</v>
      </c>
      <c r="M401" t="s">
        <v>36</v>
      </c>
      <c r="N401" t="s">
        <v>58</v>
      </c>
      <c r="O401" t="s">
        <v>382</v>
      </c>
      <c r="P401" t="s">
        <v>30</v>
      </c>
      <c r="Q401" t="s">
        <v>1348</v>
      </c>
    </row>
    <row r="402" spans="1:19" x14ac:dyDescent="0.25">
      <c r="A402" t="s">
        <v>1349</v>
      </c>
      <c r="B402" t="s">
        <v>1349</v>
      </c>
      <c r="C402" t="s">
        <v>21</v>
      </c>
      <c r="D402">
        <v>307146</v>
      </c>
      <c r="E402">
        <v>6051898</v>
      </c>
      <c r="F402">
        <v>21</v>
      </c>
      <c r="G402" t="s">
        <v>22</v>
      </c>
      <c r="I402" t="s">
        <v>1350</v>
      </c>
      <c r="J402" t="s">
        <v>1352</v>
      </c>
      <c r="K402">
        <v>1609</v>
      </c>
      <c r="L402" t="s">
        <v>1080</v>
      </c>
      <c r="M402" t="s">
        <v>103</v>
      </c>
      <c r="N402" t="s">
        <v>28</v>
      </c>
      <c r="O402" t="s">
        <v>1353</v>
      </c>
      <c r="P402" t="s">
        <v>39</v>
      </c>
      <c r="Q402" t="s">
        <v>1348</v>
      </c>
    </row>
    <row r="403" spans="1:19" x14ac:dyDescent="0.25">
      <c r="A403" t="s">
        <v>1349</v>
      </c>
      <c r="B403" t="s">
        <v>1349</v>
      </c>
      <c r="C403" t="s">
        <v>21</v>
      </c>
      <c r="D403">
        <v>307146</v>
      </c>
      <c r="E403">
        <v>6051898</v>
      </c>
      <c r="F403">
        <v>21</v>
      </c>
      <c r="G403" t="s">
        <v>22</v>
      </c>
      <c r="I403" t="s">
        <v>1350</v>
      </c>
      <c r="J403" t="s">
        <v>1354</v>
      </c>
      <c r="K403">
        <v>1035</v>
      </c>
      <c r="L403" t="s">
        <v>1080</v>
      </c>
      <c r="M403" t="s">
        <v>103</v>
      </c>
      <c r="N403" t="s">
        <v>320</v>
      </c>
      <c r="O403" t="s">
        <v>1355</v>
      </c>
      <c r="P403" t="s">
        <v>39</v>
      </c>
      <c r="Q403" t="s">
        <v>1348</v>
      </c>
    </row>
    <row r="404" spans="1:19" x14ac:dyDescent="0.25">
      <c r="A404" t="s">
        <v>1349</v>
      </c>
      <c r="B404" t="s">
        <v>1349</v>
      </c>
      <c r="C404" t="s">
        <v>21</v>
      </c>
      <c r="D404">
        <v>307146</v>
      </c>
      <c r="E404">
        <v>6051898</v>
      </c>
      <c r="F404">
        <v>21</v>
      </c>
      <c r="G404" t="s">
        <v>22</v>
      </c>
      <c r="I404" t="s">
        <v>1350</v>
      </c>
      <c r="J404" t="s">
        <v>1356</v>
      </c>
      <c r="K404">
        <v>1003</v>
      </c>
      <c r="L404" t="s">
        <v>1080</v>
      </c>
      <c r="M404" t="s">
        <v>103</v>
      </c>
      <c r="N404" t="s">
        <v>58</v>
      </c>
      <c r="O404" t="s">
        <v>1357</v>
      </c>
      <c r="P404" t="s">
        <v>39</v>
      </c>
      <c r="Q404" t="s">
        <v>1348</v>
      </c>
    </row>
    <row r="405" spans="1:19" x14ac:dyDescent="0.25">
      <c r="A405" t="s">
        <v>1349</v>
      </c>
      <c r="B405" t="s">
        <v>1349</v>
      </c>
      <c r="C405" t="s">
        <v>21</v>
      </c>
      <c r="D405">
        <v>307146</v>
      </c>
      <c r="E405">
        <v>6051898</v>
      </c>
      <c r="F405">
        <v>21</v>
      </c>
      <c r="G405" t="s">
        <v>22</v>
      </c>
      <c r="I405" t="s">
        <v>1350</v>
      </c>
      <c r="J405" t="s">
        <v>1358</v>
      </c>
      <c r="K405">
        <v>982</v>
      </c>
      <c r="L405" t="s">
        <v>1080</v>
      </c>
      <c r="M405" t="s">
        <v>103</v>
      </c>
      <c r="N405" t="s">
        <v>58</v>
      </c>
      <c r="O405" t="s">
        <v>1359</v>
      </c>
      <c r="P405" t="s">
        <v>39</v>
      </c>
      <c r="Q405" t="s">
        <v>1348</v>
      </c>
    </row>
    <row r="406" spans="1:19" x14ac:dyDescent="0.25">
      <c r="A406" t="s">
        <v>1360</v>
      </c>
      <c r="B406" t="s">
        <v>1360</v>
      </c>
      <c r="C406" t="s">
        <v>21</v>
      </c>
      <c r="D406">
        <v>306492</v>
      </c>
      <c r="E406">
        <v>6051177</v>
      </c>
      <c r="F406">
        <v>21</v>
      </c>
      <c r="G406" t="s">
        <v>22</v>
      </c>
      <c r="I406" t="s">
        <v>1361</v>
      </c>
      <c r="J406" t="s">
        <v>1362</v>
      </c>
      <c r="K406">
        <v>1644</v>
      </c>
      <c r="L406" t="s">
        <v>1080</v>
      </c>
      <c r="M406" t="s">
        <v>1363</v>
      </c>
      <c r="N406" t="s">
        <v>58</v>
      </c>
      <c r="O406" t="s">
        <v>1364</v>
      </c>
      <c r="P406" t="s">
        <v>30</v>
      </c>
      <c r="Q406" t="s">
        <v>1348</v>
      </c>
    </row>
    <row r="407" spans="1:19" x14ac:dyDescent="0.25">
      <c r="A407" t="s">
        <v>1365</v>
      </c>
      <c r="B407" t="s">
        <v>1365</v>
      </c>
      <c r="C407" t="s">
        <v>21</v>
      </c>
      <c r="D407">
        <v>332769</v>
      </c>
      <c r="E407">
        <v>6065965</v>
      </c>
      <c r="F407">
        <v>21</v>
      </c>
      <c r="G407" t="s">
        <v>22</v>
      </c>
      <c r="I407" t="s">
        <v>1366</v>
      </c>
      <c r="J407" t="s">
        <v>1367</v>
      </c>
      <c r="K407">
        <v>1798</v>
      </c>
      <c r="L407" t="s">
        <v>1080</v>
      </c>
      <c r="M407" t="s">
        <v>1363</v>
      </c>
      <c r="N407" t="s">
        <v>58</v>
      </c>
      <c r="O407" t="s">
        <v>1368</v>
      </c>
      <c r="P407" t="s">
        <v>30</v>
      </c>
      <c r="Q407" t="s">
        <v>1348</v>
      </c>
    </row>
    <row r="408" spans="1:19" x14ac:dyDescent="0.25">
      <c r="A408" t="s">
        <v>1369</v>
      </c>
      <c r="B408" t="s">
        <v>1369</v>
      </c>
      <c r="C408" t="s">
        <v>21</v>
      </c>
      <c r="D408">
        <v>332815</v>
      </c>
      <c r="E408">
        <v>6065831</v>
      </c>
      <c r="F408">
        <v>21</v>
      </c>
      <c r="G408" t="s">
        <v>22</v>
      </c>
      <c r="I408" t="s">
        <v>1370</v>
      </c>
      <c r="J408" t="s">
        <v>1371</v>
      </c>
      <c r="K408">
        <v>1792</v>
      </c>
      <c r="L408" t="s">
        <v>1080</v>
      </c>
      <c r="M408" t="s">
        <v>103</v>
      </c>
      <c r="N408" t="s">
        <v>58</v>
      </c>
      <c r="O408" t="s">
        <v>1004</v>
      </c>
      <c r="P408" t="s">
        <v>39</v>
      </c>
      <c r="Q408" t="s">
        <v>1348</v>
      </c>
    </row>
    <row r="409" spans="1:19" x14ac:dyDescent="0.25">
      <c r="A409" t="s">
        <v>1369</v>
      </c>
      <c r="B409" t="s">
        <v>1369</v>
      </c>
      <c r="C409" t="s">
        <v>21</v>
      </c>
      <c r="D409">
        <v>332815</v>
      </c>
      <c r="E409">
        <v>6065831</v>
      </c>
      <c r="F409">
        <v>21</v>
      </c>
      <c r="G409" t="s">
        <v>22</v>
      </c>
      <c r="I409" t="s">
        <v>1370</v>
      </c>
      <c r="J409" t="s">
        <v>1372</v>
      </c>
      <c r="K409">
        <v>1781</v>
      </c>
      <c r="L409" t="s">
        <v>1080</v>
      </c>
      <c r="M409" t="s">
        <v>103</v>
      </c>
      <c r="N409" t="s">
        <v>58</v>
      </c>
      <c r="O409" t="s">
        <v>1373</v>
      </c>
      <c r="P409" t="s">
        <v>39</v>
      </c>
      <c r="Q409" t="s">
        <v>1348</v>
      </c>
    </row>
    <row r="410" spans="1:19" x14ac:dyDescent="0.25">
      <c r="A410" t="s">
        <v>1374</v>
      </c>
      <c r="B410" t="s">
        <v>1374</v>
      </c>
      <c r="C410" t="s">
        <v>21</v>
      </c>
      <c r="D410">
        <v>332800</v>
      </c>
      <c r="E410">
        <v>6065900</v>
      </c>
      <c r="F410">
        <v>21</v>
      </c>
      <c r="G410" t="s">
        <v>22</v>
      </c>
      <c r="I410" t="s">
        <v>1375</v>
      </c>
      <c r="J410" t="s">
        <v>1376</v>
      </c>
      <c r="K410">
        <v>1801</v>
      </c>
      <c r="L410" t="s">
        <v>1080</v>
      </c>
      <c r="M410" t="s">
        <v>1377</v>
      </c>
      <c r="N410" t="s">
        <v>58</v>
      </c>
      <c r="O410" t="s">
        <v>1378</v>
      </c>
      <c r="P410" t="s">
        <v>39</v>
      </c>
      <c r="Q410" t="s">
        <v>1379</v>
      </c>
    </row>
    <row r="411" spans="1:19" x14ac:dyDescent="0.25">
      <c r="A411" t="s">
        <v>1380</v>
      </c>
      <c r="B411" t="s">
        <v>1380</v>
      </c>
      <c r="C411" t="s">
        <v>21</v>
      </c>
      <c r="D411">
        <v>340400</v>
      </c>
      <c r="E411">
        <v>6097400</v>
      </c>
      <c r="F411">
        <v>21</v>
      </c>
      <c r="G411" t="s">
        <v>22</v>
      </c>
      <c r="I411" t="s">
        <v>1381</v>
      </c>
      <c r="J411" t="s">
        <v>1382</v>
      </c>
      <c r="K411">
        <v>1881</v>
      </c>
      <c r="L411" t="s">
        <v>1126</v>
      </c>
      <c r="M411" t="s">
        <v>36</v>
      </c>
      <c r="N411" t="s">
        <v>58</v>
      </c>
      <c r="P411" t="s">
        <v>30</v>
      </c>
      <c r="Q411" t="s">
        <v>1383</v>
      </c>
      <c r="S411" t="s">
        <v>1384</v>
      </c>
    </row>
    <row r="412" spans="1:19" x14ac:dyDescent="0.25">
      <c r="A412" t="s">
        <v>1385</v>
      </c>
      <c r="B412" t="s">
        <v>1385</v>
      </c>
      <c r="C412" t="s">
        <v>21</v>
      </c>
      <c r="D412">
        <v>340400</v>
      </c>
      <c r="E412">
        <v>6097400</v>
      </c>
      <c r="F412">
        <v>21</v>
      </c>
      <c r="G412" t="s">
        <v>22</v>
      </c>
      <c r="I412" t="s">
        <v>1386</v>
      </c>
      <c r="J412" t="s">
        <v>1387</v>
      </c>
      <c r="K412">
        <v>1662</v>
      </c>
      <c r="L412" t="s">
        <v>1126</v>
      </c>
      <c r="M412" t="s">
        <v>103</v>
      </c>
      <c r="N412" t="s">
        <v>58</v>
      </c>
      <c r="O412" t="s">
        <v>1388</v>
      </c>
      <c r="P412" t="s">
        <v>1389</v>
      </c>
      <c r="Q412" t="s">
        <v>1383</v>
      </c>
    </row>
    <row r="413" spans="1:19" x14ac:dyDescent="0.25">
      <c r="A413" t="s">
        <v>1390</v>
      </c>
      <c r="B413" t="s">
        <v>1390</v>
      </c>
      <c r="C413" t="s">
        <v>21</v>
      </c>
      <c r="D413">
        <v>374184</v>
      </c>
      <c r="E413">
        <v>6106590</v>
      </c>
      <c r="F413">
        <v>21</v>
      </c>
      <c r="G413" t="s">
        <v>22</v>
      </c>
      <c r="I413" t="s">
        <v>1391</v>
      </c>
      <c r="J413" t="s">
        <v>1392</v>
      </c>
      <c r="K413">
        <v>1657</v>
      </c>
      <c r="L413" t="s">
        <v>1080</v>
      </c>
      <c r="M413" t="s">
        <v>36</v>
      </c>
      <c r="N413" t="s">
        <v>58</v>
      </c>
      <c r="P413" t="s">
        <v>30</v>
      </c>
      <c r="Q413" t="s">
        <v>1393</v>
      </c>
      <c r="S413" t="s">
        <v>1394</v>
      </c>
    </row>
    <row r="414" spans="1:19" x14ac:dyDescent="0.25">
      <c r="A414" t="s">
        <v>1395</v>
      </c>
      <c r="B414" t="s">
        <v>1395</v>
      </c>
      <c r="C414" t="s">
        <v>21</v>
      </c>
      <c r="D414">
        <v>374184</v>
      </c>
      <c r="E414">
        <v>6106590</v>
      </c>
      <c r="F414">
        <v>21</v>
      </c>
      <c r="G414" t="s">
        <v>22</v>
      </c>
      <c r="I414" t="s">
        <v>1391</v>
      </c>
      <c r="J414" t="s">
        <v>1396</v>
      </c>
      <c r="K414">
        <v>1635</v>
      </c>
      <c r="L414" t="s">
        <v>1080</v>
      </c>
      <c r="M414" t="s">
        <v>930</v>
      </c>
      <c r="N414" t="s">
        <v>58</v>
      </c>
      <c r="P414" t="s">
        <v>1397</v>
      </c>
      <c r="Q414" t="s">
        <v>1393</v>
      </c>
      <c r="S414" t="s">
        <v>1394</v>
      </c>
    </row>
    <row r="415" spans="1:19" x14ac:dyDescent="0.25">
      <c r="A415" t="s">
        <v>1398</v>
      </c>
      <c r="B415" t="s">
        <v>1398</v>
      </c>
      <c r="C415" t="s">
        <v>21</v>
      </c>
      <c r="D415">
        <v>362527</v>
      </c>
      <c r="E415">
        <v>6108604</v>
      </c>
      <c r="F415">
        <v>21</v>
      </c>
      <c r="G415" t="s">
        <v>22</v>
      </c>
      <c r="I415" t="s">
        <v>1399</v>
      </c>
      <c r="J415" t="s">
        <v>1400</v>
      </c>
      <c r="K415">
        <v>1873</v>
      </c>
      <c r="L415" t="s">
        <v>1080</v>
      </c>
      <c r="M415" t="s">
        <v>36</v>
      </c>
      <c r="N415" t="s">
        <v>58</v>
      </c>
      <c r="P415" t="s">
        <v>30</v>
      </c>
      <c r="Q415" t="s">
        <v>1401</v>
      </c>
      <c r="S415" t="s">
        <v>1402</v>
      </c>
    </row>
    <row r="416" spans="1:19" x14ac:dyDescent="0.25">
      <c r="A416" t="s">
        <v>1398</v>
      </c>
      <c r="B416" t="s">
        <v>1398</v>
      </c>
      <c r="C416" t="s">
        <v>21</v>
      </c>
      <c r="D416">
        <v>362527</v>
      </c>
      <c r="E416">
        <v>6108604</v>
      </c>
      <c r="F416">
        <v>21</v>
      </c>
      <c r="G416" t="s">
        <v>22</v>
      </c>
      <c r="I416" t="s">
        <v>1399</v>
      </c>
      <c r="J416" t="s">
        <v>1403</v>
      </c>
      <c r="K416">
        <v>1787</v>
      </c>
      <c r="L416" t="s">
        <v>1080</v>
      </c>
      <c r="M416" t="s">
        <v>36</v>
      </c>
      <c r="N416" t="s">
        <v>58</v>
      </c>
      <c r="P416" t="s">
        <v>39</v>
      </c>
      <c r="Q416" t="s">
        <v>1401</v>
      </c>
      <c r="S416" t="s">
        <v>1402</v>
      </c>
    </row>
    <row r="417" spans="1:19" x14ac:dyDescent="0.25">
      <c r="A417" t="s">
        <v>1404</v>
      </c>
      <c r="B417" t="s">
        <v>1404</v>
      </c>
      <c r="C417" t="s">
        <v>21</v>
      </c>
      <c r="D417">
        <v>337950</v>
      </c>
      <c r="E417">
        <v>6119100</v>
      </c>
      <c r="F417">
        <v>21</v>
      </c>
      <c r="G417" t="s">
        <v>22</v>
      </c>
      <c r="I417" t="s">
        <v>1405</v>
      </c>
      <c r="J417" t="s">
        <v>1406</v>
      </c>
      <c r="K417">
        <v>1886</v>
      </c>
      <c r="L417" t="s">
        <v>1407</v>
      </c>
      <c r="M417" t="s">
        <v>36</v>
      </c>
      <c r="N417" t="s">
        <v>58</v>
      </c>
      <c r="O417" t="s">
        <v>1095</v>
      </c>
      <c r="P417" t="s">
        <v>30</v>
      </c>
      <c r="Q417" t="s">
        <v>1408</v>
      </c>
    </row>
    <row r="418" spans="1:19" x14ac:dyDescent="0.25">
      <c r="A418" t="s">
        <v>1404</v>
      </c>
      <c r="B418" t="s">
        <v>1404</v>
      </c>
      <c r="C418" t="s">
        <v>21</v>
      </c>
      <c r="D418">
        <v>337950</v>
      </c>
      <c r="E418">
        <v>6119100</v>
      </c>
      <c r="F418">
        <v>21</v>
      </c>
      <c r="G418" t="s">
        <v>22</v>
      </c>
      <c r="I418" t="s">
        <v>1405</v>
      </c>
      <c r="J418" t="s">
        <v>1409</v>
      </c>
      <c r="K418">
        <v>1866</v>
      </c>
      <c r="L418" t="s">
        <v>1407</v>
      </c>
      <c r="M418" t="s">
        <v>103</v>
      </c>
      <c r="N418" t="s">
        <v>58</v>
      </c>
      <c r="O418" t="s">
        <v>1103</v>
      </c>
      <c r="P418" t="s">
        <v>39</v>
      </c>
      <c r="Q418" t="s">
        <v>1408</v>
      </c>
    </row>
    <row r="419" spans="1:19" x14ac:dyDescent="0.25">
      <c r="A419" t="s">
        <v>1404</v>
      </c>
      <c r="B419" t="s">
        <v>1404</v>
      </c>
      <c r="C419" t="s">
        <v>21</v>
      </c>
      <c r="D419">
        <v>337950</v>
      </c>
      <c r="E419">
        <v>6119100</v>
      </c>
      <c r="F419">
        <v>21</v>
      </c>
      <c r="G419" t="s">
        <v>22</v>
      </c>
      <c r="I419" t="s">
        <v>1405</v>
      </c>
      <c r="J419" t="s">
        <v>1410</v>
      </c>
      <c r="K419">
        <v>1860</v>
      </c>
      <c r="L419" t="s">
        <v>1407</v>
      </c>
      <c r="M419" t="s">
        <v>103</v>
      </c>
      <c r="N419" t="s">
        <v>58</v>
      </c>
      <c r="O419" t="s">
        <v>1004</v>
      </c>
      <c r="P419" t="s">
        <v>39</v>
      </c>
      <c r="Q419" t="s">
        <v>1408</v>
      </c>
    </row>
    <row r="420" spans="1:19" x14ac:dyDescent="0.25">
      <c r="A420" t="s">
        <v>1404</v>
      </c>
      <c r="B420" t="s">
        <v>1404</v>
      </c>
      <c r="C420" t="s">
        <v>21</v>
      </c>
      <c r="D420">
        <v>337950</v>
      </c>
      <c r="E420">
        <v>6119100</v>
      </c>
      <c r="F420">
        <v>21</v>
      </c>
      <c r="G420" t="s">
        <v>22</v>
      </c>
      <c r="I420" t="s">
        <v>1405</v>
      </c>
      <c r="J420" t="s">
        <v>1411</v>
      </c>
      <c r="K420">
        <v>1813</v>
      </c>
      <c r="L420" t="s">
        <v>1407</v>
      </c>
      <c r="M420" t="s">
        <v>103</v>
      </c>
      <c r="N420" t="s">
        <v>58</v>
      </c>
      <c r="O420" t="s">
        <v>1412</v>
      </c>
      <c r="P420" t="s">
        <v>39</v>
      </c>
      <c r="Q420" t="s">
        <v>1408</v>
      </c>
    </row>
    <row r="421" spans="1:19" x14ac:dyDescent="0.25">
      <c r="A421" t="s">
        <v>1413</v>
      </c>
      <c r="B421" t="s">
        <v>1413</v>
      </c>
      <c r="C421" t="s">
        <v>21</v>
      </c>
      <c r="D421">
        <v>314670</v>
      </c>
      <c r="E421">
        <v>6114030</v>
      </c>
      <c r="F421">
        <v>21</v>
      </c>
      <c r="G421" t="s">
        <v>22</v>
      </c>
      <c r="I421" t="s">
        <v>1414</v>
      </c>
      <c r="J421" t="s">
        <v>1415</v>
      </c>
      <c r="K421">
        <v>1880</v>
      </c>
      <c r="L421" t="s">
        <v>1407</v>
      </c>
      <c r="M421" t="s">
        <v>577</v>
      </c>
      <c r="N421" t="s">
        <v>58</v>
      </c>
      <c r="O421" t="s">
        <v>1416</v>
      </c>
      <c r="P421" t="s">
        <v>30</v>
      </c>
      <c r="Q421" t="s">
        <v>1408</v>
      </c>
    </row>
    <row r="422" spans="1:19" x14ac:dyDescent="0.25">
      <c r="A422" t="s">
        <v>1413</v>
      </c>
      <c r="B422" t="s">
        <v>1413</v>
      </c>
      <c r="C422" t="s">
        <v>21</v>
      </c>
      <c r="D422">
        <v>314670</v>
      </c>
      <c r="E422">
        <v>6114030</v>
      </c>
      <c r="F422">
        <v>21</v>
      </c>
      <c r="G422" t="s">
        <v>22</v>
      </c>
      <c r="I422" t="s">
        <v>1414</v>
      </c>
      <c r="J422" t="s">
        <v>1417</v>
      </c>
      <c r="K422">
        <v>1755</v>
      </c>
      <c r="L422" t="s">
        <v>1407</v>
      </c>
      <c r="M422" t="s">
        <v>103</v>
      </c>
      <c r="N422" t="s">
        <v>58</v>
      </c>
      <c r="O422" t="s">
        <v>1103</v>
      </c>
      <c r="P422" t="s">
        <v>39</v>
      </c>
      <c r="Q422" t="s">
        <v>1408</v>
      </c>
    </row>
    <row r="423" spans="1:19" x14ac:dyDescent="0.25">
      <c r="A423" t="s">
        <v>1418</v>
      </c>
      <c r="B423" t="s">
        <v>1418</v>
      </c>
      <c r="C423" t="s">
        <v>21</v>
      </c>
      <c r="D423">
        <v>307850</v>
      </c>
      <c r="E423">
        <v>6124400</v>
      </c>
      <c r="F423">
        <v>21</v>
      </c>
      <c r="G423" t="s">
        <v>22</v>
      </c>
      <c r="I423" t="s">
        <v>1419</v>
      </c>
      <c r="J423" t="s">
        <v>1420</v>
      </c>
      <c r="K423">
        <v>1872</v>
      </c>
      <c r="L423" t="s">
        <v>1407</v>
      </c>
      <c r="M423" t="s">
        <v>36</v>
      </c>
      <c r="N423" t="s">
        <v>58</v>
      </c>
      <c r="O423" t="s">
        <v>1421</v>
      </c>
      <c r="P423" t="s">
        <v>30</v>
      </c>
      <c r="Q423" t="s">
        <v>1408</v>
      </c>
    </row>
    <row r="424" spans="1:19" x14ac:dyDescent="0.25">
      <c r="A424" t="s">
        <v>1422</v>
      </c>
      <c r="B424" t="s">
        <v>1422</v>
      </c>
      <c r="C424" t="s">
        <v>21</v>
      </c>
      <c r="D424">
        <v>308340</v>
      </c>
      <c r="E424">
        <v>6124776</v>
      </c>
      <c r="F424">
        <v>21</v>
      </c>
      <c r="G424" t="s">
        <v>22</v>
      </c>
      <c r="I424" t="s">
        <v>1423</v>
      </c>
      <c r="J424" t="s">
        <v>1424</v>
      </c>
      <c r="K424">
        <v>1870</v>
      </c>
      <c r="L424" t="s">
        <v>1407</v>
      </c>
      <c r="M424" t="s">
        <v>263</v>
      </c>
      <c r="N424" t="s">
        <v>104</v>
      </c>
      <c r="O424" t="s">
        <v>1425</v>
      </c>
      <c r="P424" t="s">
        <v>30</v>
      </c>
      <c r="Q424" t="s">
        <v>1408</v>
      </c>
    </row>
    <row r="425" spans="1:19" x14ac:dyDescent="0.25">
      <c r="A425" t="s">
        <v>1426</v>
      </c>
      <c r="B425" t="s">
        <v>1426</v>
      </c>
      <c r="C425" t="s">
        <v>21</v>
      </c>
      <c r="D425">
        <v>336000</v>
      </c>
      <c r="E425">
        <v>6116700</v>
      </c>
      <c r="F425">
        <v>21</v>
      </c>
      <c r="G425" t="s">
        <v>22</v>
      </c>
      <c r="I425" t="s">
        <v>1427</v>
      </c>
      <c r="J425" t="s">
        <v>1428</v>
      </c>
      <c r="K425">
        <v>1791</v>
      </c>
      <c r="L425" t="s">
        <v>1407</v>
      </c>
      <c r="M425" t="s">
        <v>103</v>
      </c>
      <c r="N425" t="s">
        <v>58</v>
      </c>
      <c r="O425" t="s">
        <v>1353</v>
      </c>
      <c r="P425" t="s">
        <v>30</v>
      </c>
      <c r="Q425" t="s">
        <v>1408</v>
      </c>
    </row>
    <row r="426" spans="1:19" x14ac:dyDescent="0.25">
      <c r="A426" t="s">
        <v>1429</v>
      </c>
      <c r="B426" t="s">
        <v>1429</v>
      </c>
      <c r="C426" t="s">
        <v>21</v>
      </c>
      <c r="D426">
        <v>330700</v>
      </c>
      <c r="E426">
        <v>6112160</v>
      </c>
      <c r="F426">
        <v>21</v>
      </c>
      <c r="G426" t="s">
        <v>22</v>
      </c>
      <c r="I426" t="s">
        <v>1430</v>
      </c>
      <c r="J426" t="s">
        <v>1431</v>
      </c>
      <c r="K426">
        <v>1716</v>
      </c>
      <c r="L426" t="s">
        <v>1407</v>
      </c>
      <c r="M426" t="s">
        <v>577</v>
      </c>
      <c r="N426" t="s">
        <v>58</v>
      </c>
      <c r="O426" t="s">
        <v>1432</v>
      </c>
      <c r="P426" t="s">
        <v>30</v>
      </c>
      <c r="Q426" t="s">
        <v>1408</v>
      </c>
    </row>
    <row r="427" spans="1:19" x14ac:dyDescent="0.25">
      <c r="A427" t="s">
        <v>1433</v>
      </c>
      <c r="B427" t="s">
        <v>1434</v>
      </c>
      <c r="C427" t="s">
        <v>21</v>
      </c>
      <c r="D427">
        <v>334230</v>
      </c>
      <c r="E427">
        <v>6124800</v>
      </c>
      <c r="F427">
        <v>21</v>
      </c>
      <c r="G427" t="s">
        <v>22</v>
      </c>
      <c r="I427" t="s">
        <v>1435</v>
      </c>
      <c r="J427" t="s">
        <v>1436</v>
      </c>
      <c r="K427">
        <v>1896</v>
      </c>
      <c r="L427" t="s">
        <v>1407</v>
      </c>
      <c r="M427" t="s">
        <v>36</v>
      </c>
      <c r="N427" t="s">
        <v>58</v>
      </c>
      <c r="O427" t="s">
        <v>70</v>
      </c>
      <c r="P427" t="s">
        <v>39</v>
      </c>
      <c r="Q427" t="s">
        <v>1437</v>
      </c>
      <c r="S427" t="s">
        <v>1438</v>
      </c>
    </row>
    <row r="428" spans="1:19" x14ac:dyDescent="0.25">
      <c r="A428" t="s">
        <v>1433</v>
      </c>
      <c r="B428" t="s">
        <v>1434</v>
      </c>
      <c r="C428" t="s">
        <v>21</v>
      </c>
      <c r="D428">
        <v>334230</v>
      </c>
      <c r="E428">
        <v>6124800</v>
      </c>
      <c r="F428">
        <v>21</v>
      </c>
      <c r="G428" t="s">
        <v>22</v>
      </c>
      <c r="I428" t="s">
        <v>1435</v>
      </c>
      <c r="J428" t="s">
        <v>1351</v>
      </c>
      <c r="K428">
        <v>1858</v>
      </c>
      <c r="L428" t="s">
        <v>1407</v>
      </c>
      <c r="M428" t="s">
        <v>103</v>
      </c>
      <c r="N428" t="s">
        <v>58</v>
      </c>
      <c r="O428" t="s">
        <v>1439</v>
      </c>
      <c r="P428" t="s">
        <v>39</v>
      </c>
      <c r="Q428" t="s">
        <v>1437</v>
      </c>
      <c r="S428" t="s">
        <v>1438</v>
      </c>
    </row>
    <row r="429" spans="1:19" x14ac:dyDescent="0.25">
      <c r="A429" t="s">
        <v>1433</v>
      </c>
      <c r="B429" t="s">
        <v>1434</v>
      </c>
      <c r="C429" t="s">
        <v>21</v>
      </c>
      <c r="D429">
        <v>334230</v>
      </c>
      <c r="E429">
        <v>6124800</v>
      </c>
      <c r="F429">
        <v>21</v>
      </c>
      <c r="G429" t="s">
        <v>22</v>
      </c>
      <c r="I429" t="s">
        <v>1435</v>
      </c>
      <c r="J429" t="s">
        <v>1440</v>
      </c>
      <c r="K429">
        <v>1822</v>
      </c>
      <c r="L429" t="s">
        <v>1407</v>
      </c>
      <c r="M429" t="s">
        <v>103</v>
      </c>
      <c r="N429" t="s">
        <v>58</v>
      </c>
      <c r="O429" t="s">
        <v>1412</v>
      </c>
      <c r="P429" t="s">
        <v>39</v>
      </c>
      <c r="Q429" t="s">
        <v>1437</v>
      </c>
      <c r="S429" t="s">
        <v>1438</v>
      </c>
    </row>
    <row r="430" spans="1:19" x14ac:dyDescent="0.25">
      <c r="A430" t="s">
        <v>1441</v>
      </c>
      <c r="B430" t="s">
        <v>1442</v>
      </c>
      <c r="C430" t="s">
        <v>21</v>
      </c>
      <c r="D430">
        <v>339810</v>
      </c>
      <c r="E430">
        <v>6106935</v>
      </c>
      <c r="F430">
        <v>21</v>
      </c>
      <c r="G430" t="s">
        <v>22</v>
      </c>
      <c r="I430" t="s">
        <v>1443</v>
      </c>
      <c r="J430" t="s">
        <v>1444</v>
      </c>
      <c r="K430">
        <v>1882</v>
      </c>
      <c r="L430" t="s">
        <v>1126</v>
      </c>
      <c r="M430" t="s">
        <v>36</v>
      </c>
      <c r="N430" t="s">
        <v>986</v>
      </c>
      <c r="O430" t="s">
        <v>1300</v>
      </c>
      <c r="P430" t="s">
        <v>30</v>
      </c>
      <c r="Q430" t="s">
        <v>1437</v>
      </c>
      <c r="S430" t="s">
        <v>1438</v>
      </c>
    </row>
    <row r="431" spans="1:19" x14ac:dyDescent="0.25">
      <c r="A431" t="s">
        <v>1441</v>
      </c>
      <c r="B431" t="s">
        <v>1442</v>
      </c>
      <c r="C431" t="s">
        <v>21</v>
      </c>
      <c r="D431">
        <v>339810</v>
      </c>
      <c r="E431">
        <v>6106935</v>
      </c>
      <c r="F431">
        <v>21</v>
      </c>
      <c r="G431" t="s">
        <v>22</v>
      </c>
      <c r="I431" t="s">
        <v>1443</v>
      </c>
      <c r="J431" t="s">
        <v>1445</v>
      </c>
      <c r="K431">
        <v>1817</v>
      </c>
      <c r="L431" t="s">
        <v>1126</v>
      </c>
      <c r="M431" t="s">
        <v>103</v>
      </c>
      <c r="N431" t="s">
        <v>58</v>
      </c>
      <c r="O431" t="s">
        <v>1353</v>
      </c>
      <c r="P431" t="s">
        <v>39</v>
      </c>
      <c r="Q431" t="s">
        <v>1437</v>
      </c>
      <c r="S431" t="s">
        <v>1438</v>
      </c>
    </row>
    <row r="432" spans="1:19" x14ac:dyDescent="0.25">
      <c r="A432" t="s">
        <v>1446</v>
      </c>
      <c r="B432" t="s">
        <v>1447</v>
      </c>
      <c r="C432" t="s">
        <v>21</v>
      </c>
      <c r="D432">
        <v>325938</v>
      </c>
      <c r="E432">
        <v>6085141</v>
      </c>
      <c r="F432">
        <v>21</v>
      </c>
      <c r="G432" t="s">
        <v>22</v>
      </c>
      <c r="I432" t="s">
        <v>1448</v>
      </c>
      <c r="J432" t="s">
        <v>1449</v>
      </c>
      <c r="K432">
        <v>1877</v>
      </c>
      <c r="L432" t="s">
        <v>1126</v>
      </c>
      <c r="M432" t="s">
        <v>36</v>
      </c>
      <c r="N432" t="s">
        <v>58</v>
      </c>
      <c r="O432" t="s">
        <v>1450</v>
      </c>
      <c r="P432" t="s">
        <v>30</v>
      </c>
      <c r="Q432" t="s">
        <v>1437</v>
      </c>
      <c r="S432" t="s">
        <v>1438</v>
      </c>
    </row>
    <row r="433" spans="1:19" x14ac:dyDescent="0.25">
      <c r="A433" t="s">
        <v>1446</v>
      </c>
      <c r="B433" t="s">
        <v>1447</v>
      </c>
      <c r="C433" t="s">
        <v>21</v>
      </c>
      <c r="D433">
        <v>325938</v>
      </c>
      <c r="E433">
        <v>6085141</v>
      </c>
      <c r="F433">
        <v>21</v>
      </c>
      <c r="G433" t="s">
        <v>22</v>
      </c>
      <c r="I433" t="s">
        <v>1448</v>
      </c>
      <c r="J433" t="s">
        <v>1451</v>
      </c>
      <c r="K433">
        <v>1866</v>
      </c>
      <c r="L433" t="s">
        <v>1126</v>
      </c>
      <c r="M433" t="s">
        <v>103</v>
      </c>
      <c r="N433" t="s">
        <v>58</v>
      </c>
      <c r="O433" t="s">
        <v>1103</v>
      </c>
      <c r="P433" t="s">
        <v>39</v>
      </c>
      <c r="Q433" t="s">
        <v>1437</v>
      </c>
      <c r="S433" t="s">
        <v>1438</v>
      </c>
    </row>
    <row r="434" spans="1:19" x14ac:dyDescent="0.25">
      <c r="A434" t="s">
        <v>1446</v>
      </c>
      <c r="B434" t="s">
        <v>1447</v>
      </c>
      <c r="C434" t="s">
        <v>21</v>
      </c>
      <c r="D434">
        <v>325938</v>
      </c>
      <c r="E434">
        <v>6085141</v>
      </c>
      <c r="F434">
        <v>21</v>
      </c>
      <c r="G434" t="s">
        <v>22</v>
      </c>
      <c r="I434" t="s">
        <v>1448</v>
      </c>
      <c r="J434" t="s">
        <v>1452</v>
      </c>
      <c r="K434">
        <v>1854</v>
      </c>
      <c r="L434" t="s">
        <v>1126</v>
      </c>
      <c r="M434" t="s">
        <v>103</v>
      </c>
      <c r="N434" t="s">
        <v>58</v>
      </c>
      <c r="O434" t="s">
        <v>1004</v>
      </c>
      <c r="P434" t="s">
        <v>39</v>
      </c>
      <c r="Q434" t="s">
        <v>1437</v>
      </c>
      <c r="S434" t="s">
        <v>1438</v>
      </c>
    </row>
    <row r="435" spans="1:19" x14ac:dyDescent="0.25">
      <c r="A435" t="s">
        <v>1446</v>
      </c>
      <c r="B435" t="s">
        <v>1447</v>
      </c>
      <c r="C435" t="s">
        <v>21</v>
      </c>
      <c r="D435">
        <v>325938</v>
      </c>
      <c r="E435">
        <v>6085141</v>
      </c>
      <c r="F435">
        <v>21</v>
      </c>
      <c r="G435" t="s">
        <v>22</v>
      </c>
      <c r="I435" t="s">
        <v>1448</v>
      </c>
      <c r="J435" t="s">
        <v>1453</v>
      </c>
      <c r="K435">
        <v>1807</v>
      </c>
      <c r="L435" t="s">
        <v>1126</v>
      </c>
      <c r="M435" t="s">
        <v>103</v>
      </c>
      <c r="N435" t="s">
        <v>58</v>
      </c>
      <c r="O435" t="s">
        <v>1454</v>
      </c>
      <c r="P435" t="s">
        <v>39</v>
      </c>
      <c r="Q435" t="s">
        <v>1437</v>
      </c>
      <c r="S435" t="s">
        <v>1438</v>
      </c>
    </row>
    <row r="436" spans="1:19" x14ac:dyDescent="0.25">
      <c r="A436" t="s">
        <v>1455</v>
      </c>
      <c r="B436" t="s">
        <v>1456</v>
      </c>
      <c r="C436" t="s">
        <v>21</v>
      </c>
      <c r="D436">
        <v>338917</v>
      </c>
      <c r="E436">
        <v>6117818</v>
      </c>
      <c r="F436">
        <v>21</v>
      </c>
      <c r="G436" t="s">
        <v>22</v>
      </c>
      <c r="I436" t="s">
        <v>1457</v>
      </c>
      <c r="J436" t="s">
        <v>1458</v>
      </c>
      <c r="K436">
        <v>1871</v>
      </c>
      <c r="L436" t="s">
        <v>1126</v>
      </c>
      <c r="M436" t="s">
        <v>36</v>
      </c>
      <c r="N436" t="s">
        <v>104</v>
      </c>
      <c r="O436" t="s">
        <v>1095</v>
      </c>
      <c r="P436" t="s">
        <v>30</v>
      </c>
      <c r="Q436" t="s">
        <v>1437</v>
      </c>
      <c r="S436" t="s">
        <v>1438</v>
      </c>
    </row>
    <row r="437" spans="1:19" x14ac:dyDescent="0.25">
      <c r="A437" t="s">
        <v>1455</v>
      </c>
      <c r="B437" t="s">
        <v>1456</v>
      </c>
      <c r="C437" t="s">
        <v>21</v>
      </c>
      <c r="D437">
        <v>338917</v>
      </c>
      <c r="E437">
        <v>6117818</v>
      </c>
      <c r="F437">
        <v>21</v>
      </c>
      <c r="G437" t="s">
        <v>22</v>
      </c>
      <c r="I437" t="s">
        <v>1457</v>
      </c>
      <c r="J437" t="s">
        <v>1459</v>
      </c>
      <c r="K437">
        <v>1859</v>
      </c>
      <c r="L437" t="s">
        <v>1126</v>
      </c>
      <c r="M437" t="s">
        <v>103</v>
      </c>
      <c r="N437" t="s">
        <v>1460</v>
      </c>
      <c r="O437" t="s">
        <v>1103</v>
      </c>
      <c r="P437" t="s">
        <v>39</v>
      </c>
      <c r="Q437" t="s">
        <v>1437</v>
      </c>
      <c r="S437" t="s">
        <v>1438</v>
      </c>
    </row>
    <row r="438" spans="1:19" x14ac:dyDescent="0.25">
      <c r="A438" t="s">
        <v>1455</v>
      </c>
      <c r="B438" t="s">
        <v>1456</v>
      </c>
      <c r="C438" t="s">
        <v>21</v>
      </c>
      <c r="D438">
        <v>338917</v>
      </c>
      <c r="E438">
        <v>6117818</v>
      </c>
      <c r="F438">
        <v>21</v>
      </c>
      <c r="G438" t="s">
        <v>22</v>
      </c>
      <c r="I438" t="s">
        <v>1457</v>
      </c>
      <c r="J438" t="s">
        <v>1461</v>
      </c>
      <c r="K438">
        <v>1854</v>
      </c>
      <c r="L438" t="s">
        <v>1126</v>
      </c>
      <c r="M438" t="s">
        <v>103</v>
      </c>
      <c r="N438" t="s">
        <v>1460</v>
      </c>
      <c r="O438" t="s">
        <v>1412</v>
      </c>
      <c r="P438" t="s">
        <v>39</v>
      </c>
      <c r="Q438" t="s">
        <v>1437</v>
      </c>
      <c r="S438" t="s">
        <v>1438</v>
      </c>
    </row>
    <row r="439" spans="1:19" x14ac:dyDescent="0.25">
      <c r="A439" t="s">
        <v>1455</v>
      </c>
      <c r="B439" t="s">
        <v>1456</v>
      </c>
      <c r="C439" t="s">
        <v>21</v>
      </c>
      <c r="D439">
        <v>338917</v>
      </c>
      <c r="E439">
        <v>6117818</v>
      </c>
      <c r="F439">
        <v>21</v>
      </c>
      <c r="G439" t="s">
        <v>22</v>
      </c>
      <c r="I439" t="s">
        <v>1457</v>
      </c>
      <c r="J439" t="s">
        <v>1462</v>
      </c>
      <c r="K439">
        <v>1847</v>
      </c>
      <c r="L439" t="s">
        <v>1126</v>
      </c>
      <c r="M439" t="s">
        <v>103</v>
      </c>
      <c r="N439" t="s">
        <v>1460</v>
      </c>
      <c r="O439" t="s">
        <v>1004</v>
      </c>
      <c r="P439" t="s">
        <v>39</v>
      </c>
      <c r="Q439" t="s">
        <v>1437</v>
      </c>
      <c r="S439" t="s">
        <v>1438</v>
      </c>
    </row>
    <row r="440" spans="1:19" x14ac:dyDescent="0.25">
      <c r="A440" t="s">
        <v>1455</v>
      </c>
      <c r="B440" t="s">
        <v>1456</v>
      </c>
      <c r="C440" t="s">
        <v>21</v>
      </c>
      <c r="D440">
        <v>338917</v>
      </c>
      <c r="E440">
        <v>6117818</v>
      </c>
      <c r="F440">
        <v>21</v>
      </c>
      <c r="G440" t="s">
        <v>22</v>
      </c>
      <c r="I440" t="s">
        <v>1457</v>
      </c>
      <c r="J440" t="s">
        <v>1463</v>
      </c>
      <c r="K440">
        <v>1744</v>
      </c>
      <c r="L440" t="s">
        <v>1126</v>
      </c>
      <c r="M440" t="s">
        <v>103</v>
      </c>
      <c r="N440" t="s">
        <v>1460</v>
      </c>
      <c r="O440" t="s">
        <v>1355</v>
      </c>
      <c r="P440" t="s">
        <v>39</v>
      </c>
      <c r="Q440" t="s">
        <v>1437</v>
      </c>
      <c r="S440" t="s">
        <v>1438</v>
      </c>
    </row>
    <row r="441" spans="1:19" x14ac:dyDescent="0.25">
      <c r="A441" t="s">
        <v>1464</v>
      </c>
      <c r="B441" t="s">
        <v>1465</v>
      </c>
      <c r="C441" t="s">
        <v>21</v>
      </c>
      <c r="D441">
        <v>339204</v>
      </c>
      <c r="E441">
        <v>6121148</v>
      </c>
      <c r="F441">
        <v>21</v>
      </c>
      <c r="G441" t="s">
        <v>22</v>
      </c>
      <c r="I441" t="s">
        <v>1466</v>
      </c>
      <c r="J441" t="s">
        <v>1467</v>
      </c>
      <c r="K441">
        <v>1871</v>
      </c>
      <c r="L441" t="s">
        <v>1126</v>
      </c>
      <c r="M441" t="s">
        <v>263</v>
      </c>
      <c r="N441" t="s">
        <v>1460</v>
      </c>
      <c r="O441" t="s">
        <v>1468</v>
      </c>
      <c r="P441" t="s">
        <v>39</v>
      </c>
      <c r="Q441" t="s">
        <v>1437</v>
      </c>
      <c r="S441" t="s">
        <v>1438</v>
      </c>
    </row>
    <row r="442" spans="1:19" x14ac:dyDescent="0.25">
      <c r="A442" t="s">
        <v>1464</v>
      </c>
      <c r="B442" t="s">
        <v>1465</v>
      </c>
      <c r="C442" t="s">
        <v>21</v>
      </c>
      <c r="D442">
        <v>339204</v>
      </c>
      <c r="E442">
        <v>6121148</v>
      </c>
      <c r="F442">
        <v>21</v>
      </c>
      <c r="G442" t="s">
        <v>22</v>
      </c>
      <c r="I442" t="s">
        <v>1466</v>
      </c>
      <c r="J442" t="s">
        <v>1469</v>
      </c>
      <c r="K442">
        <v>1865</v>
      </c>
      <c r="L442" t="s">
        <v>1126</v>
      </c>
      <c r="M442" t="s">
        <v>263</v>
      </c>
      <c r="N442" t="s">
        <v>1460</v>
      </c>
      <c r="O442" t="s">
        <v>376</v>
      </c>
      <c r="P442" t="s">
        <v>39</v>
      </c>
      <c r="Q442" t="s">
        <v>1437</v>
      </c>
      <c r="S442" t="s">
        <v>1438</v>
      </c>
    </row>
    <row r="443" spans="1:19" x14ac:dyDescent="0.25">
      <c r="A443" t="s">
        <v>1464</v>
      </c>
      <c r="B443" t="s">
        <v>1465</v>
      </c>
      <c r="C443" t="s">
        <v>21</v>
      </c>
      <c r="D443">
        <v>339204</v>
      </c>
      <c r="E443">
        <v>6121148</v>
      </c>
      <c r="F443">
        <v>21</v>
      </c>
      <c r="G443" t="s">
        <v>22</v>
      </c>
      <c r="I443" t="s">
        <v>1466</v>
      </c>
      <c r="J443" t="s">
        <v>1470</v>
      </c>
      <c r="K443">
        <v>1841</v>
      </c>
      <c r="L443" t="s">
        <v>1126</v>
      </c>
      <c r="M443" t="s">
        <v>263</v>
      </c>
      <c r="N443" t="s">
        <v>1460</v>
      </c>
      <c r="O443" t="s">
        <v>1471</v>
      </c>
      <c r="P443" t="s">
        <v>39</v>
      </c>
      <c r="Q443" t="s">
        <v>1437</v>
      </c>
      <c r="S443" t="s">
        <v>1438</v>
      </c>
    </row>
    <row r="444" spans="1:19" x14ac:dyDescent="0.25">
      <c r="A444" t="s">
        <v>1472</v>
      </c>
      <c r="B444" t="s">
        <v>1473</v>
      </c>
      <c r="C444" t="s">
        <v>21</v>
      </c>
      <c r="D444">
        <v>339810</v>
      </c>
      <c r="E444">
        <v>6106935</v>
      </c>
      <c r="F444">
        <v>21</v>
      </c>
      <c r="G444" t="s">
        <v>22</v>
      </c>
      <c r="I444" t="s">
        <v>1474</v>
      </c>
      <c r="J444" t="s">
        <v>1475</v>
      </c>
      <c r="K444">
        <v>1811</v>
      </c>
      <c r="L444" t="s">
        <v>1126</v>
      </c>
      <c r="M444" t="s">
        <v>36</v>
      </c>
      <c r="N444" t="s">
        <v>58</v>
      </c>
      <c r="O444" t="s">
        <v>1266</v>
      </c>
      <c r="P444" t="s">
        <v>30</v>
      </c>
      <c r="Q444" t="s">
        <v>1437</v>
      </c>
      <c r="S444" t="s">
        <v>1438</v>
      </c>
    </row>
    <row r="445" spans="1:19" x14ac:dyDescent="0.25">
      <c r="A445" t="s">
        <v>1472</v>
      </c>
      <c r="B445" t="s">
        <v>1473</v>
      </c>
      <c r="C445" t="s">
        <v>21</v>
      </c>
      <c r="D445">
        <v>339810</v>
      </c>
      <c r="E445">
        <v>6106935</v>
      </c>
      <c r="F445">
        <v>21</v>
      </c>
      <c r="G445" t="s">
        <v>22</v>
      </c>
      <c r="I445" t="s">
        <v>1474</v>
      </c>
      <c r="J445" t="s">
        <v>1476</v>
      </c>
      <c r="K445">
        <v>1769</v>
      </c>
      <c r="L445" t="s">
        <v>1126</v>
      </c>
      <c r="M445" t="s">
        <v>103</v>
      </c>
      <c r="N445" t="s">
        <v>58</v>
      </c>
      <c r="O445" t="s">
        <v>1353</v>
      </c>
      <c r="P445" t="s">
        <v>39</v>
      </c>
      <c r="Q445" t="s">
        <v>1437</v>
      </c>
      <c r="S445" t="s">
        <v>1438</v>
      </c>
    </row>
    <row r="446" spans="1:19" x14ac:dyDescent="0.25">
      <c r="A446" t="s">
        <v>1477</v>
      </c>
      <c r="B446" t="s">
        <v>1478</v>
      </c>
      <c r="C446" t="s">
        <v>21</v>
      </c>
      <c r="D446">
        <v>308021</v>
      </c>
      <c r="E446">
        <v>6079283</v>
      </c>
      <c r="F446">
        <v>21</v>
      </c>
      <c r="G446" t="s">
        <v>22</v>
      </c>
      <c r="I446" t="s">
        <v>1479</v>
      </c>
      <c r="J446" t="s">
        <v>1480</v>
      </c>
      <c r="K446">
        <v>1801</v>
      </c>
      <c r="L446" t="s">
        <v>1126</v>
      </c>
      <c r="M446" t="s">
        <v>577</v>
      </c>
      <c r="N446" t="s">
        <v>58</v>
      </c>
      <c r="O446" t="s">
        <v>1481</v>
      </c>
      <c r="P446" t="s">
        <v>39</v>
      </c>
      <c r="Q446" t="s">
        <v>1437</v>
      </c>
      <c r="S446" t="s">
        <v>1438</v>
      </c>
    </row>
    <row r="447" spans="1:19" x14ac:dyDescent="0.25">
      <c r="A447" t="s">
        <v>1482</v>
      </c>
      <c r="B447" t="s">
        <v>1483</v>
      </c>
      <c r="C447" t="s">
        <v>21</v>
      </c>
      <c r="D447">
        <v>340468</v>
      </c>
      <c r="E447">
        <v>6100417</v>
      </c>
      <c r="F447">
        <v>21</v>
      </c>
      <c r="G447" t="s">
        <v>22</v>
      </c>
      <c r="I447" t="s">
        <v>1484</v>
      </c>
      <c r="J447" t="s">
        <v>1485</v>
      </c>
      <c r="K447">
        <v>1784</v>
      </c>
      <c r="L447" t="s">
        <v>1126</v>
      </c>
      <c r="M447" t="s">
        <v>1486</v>
      </c>
      <c r="N447" t="s">
        <v>58</v>
      </c>
      <c r="O447" t="s">
        <v>1487</v>
      </c>
      <c r="P447" t="s">
        <v>30</v>
      </c>
      <c r="Q447" t="s">
        <v>1437</v>
      </c>
      <c r="S447" t="s">
        <v>1438</v>
      </c>
    </row>
    <row r="448" spans="1:19" x14ac:dyDescent="0.25">
      <c r="A448" t="s">
        <v>1488</v>
      </c>
      <c r="B448" t="s">
        <v>1488</v>
      </c>
      <c r="C448" t="s">
        <v>21</v>
      </c>
      <c r="D448">
        <v>340000</v>
      </c>
      <c r="E448">
        <v>6107680</v>
      </c>
      <c r="F448">
        <v>21</v>
      </c>
      <c r="G448" t="s">
        <v>22</v>
      </c>
      <c r="I448" t="s">
        <v>1489</v>
      </c>
      <c r="J448" t="s">
        <v>1490</v>
      </c>
      <c r="K448">
        <v>1761</v>
      </c>
      <c r="L448" t="s">
        <v>1126</v>
      </c>
      <c r="M448" t="s">
        <v>103</v>
      </c>
      <c r="N448" t="s">
        <v>58</v>
      </c>
      <c r="O448" t="s">
        <v>1061</v>
      </c>
      <c r="P448" t="s">
        <v>39</v>
      </c>
      <c r="Q448" t="s">
        <v>1279</v>
      </c>
    </row>
    <row r="449" spans="1:19" x14ac:dyDescent="0.25">
      <c r="A449" t="s">
        <v>1491</v>
      </c>
      <c r="B449" t="s">
        <v>1491</v>
      </c>
      <c r="C449" t="s">
        <v>21</v>
      </c>
      <c r="D449">
        <v>328725</v>
      </c>
      <c r="E449">
        <v>6090950</v>
      </c>
      <c r="F449">
        <v>21</v>
      </c>
      <c r="G449" t="s">
        <v>22</v>
      </c>
      <c r="I449" t="s">
        <v>1492</v>
      </c>
      <c r="J449" t="s">
        <v>1493</v>
      </c>
      <c r="K449">
        <v>1794</v>
      </c>
      <c r="L449" t="s">
        <v>1126</v>
      </c>
      <c r="M449" t="s">
        <v>263</v>
      </c>
      <c r="N449" t="s">
        <v>58</v>
      </c>
      <c r="O449" t="s">
        <v>717</v>
      </c>
      <c r="P449" t="s">
        <v>39</v>
      </c>
      <c r="Q449" t="s">
        <v>1279</v>
      </c>
    </row>
    <row r="450" spans="1:19" x14ac:dyDescent="0.25">
      <c r="A450" t="s">
        <v>1494</v>
      </c>
      <c r="B450" t="s">
        <v>1494</v>
      </c>
      <c r="C450" t="s">
        <v>21</v>
      </c>
      <c r="D450">
        <v>324945</v>
      </c>
      <c r="E450">
        <v>6087952</v>
      </c>
      <c r="F450">
        <v>21</v>
      </c>
      <c r="G450" t="s">
        <v>22</v>
      </c>
      <c r="I450" t="s">
        <v>1495</v>
      </c>
      <c r="J450" t="s">
        <v>1496</v>
      </c>
      <c r="K450">
        <v>2878</v>
      </c>
      <c r="L450" t="s">
        <v>1126</v>
      </c>
      <c r="M450" t="s">
        <v>36</v>
      </c>
      <c r="N450" t="s">
        <v>986</v>
      </c>
      <c r="O450" t="s">
        <v>70</v>
      </c>
      <c r="P450" t="s">
        <v>30</v>
      </c>
      <c r="Q450" t="s">
        <v>1497</v>
      </c>
      <c r="S450" t="s">
        <v>1498</v>
      </c>
    </row>
    <row r="451" spans="1:19" x14ac:dyDescent="0.25">
      <c r="A451" t="s">
        <v>1499</v>
      </c>
      <c r="B451" t="s">
        <v>1499</v>
      </c>
      <c r="C451" t="s">
        <v>21</v>
      </c>
      <c r="D451">
        <v>338894</v>
      </c>
      <c r="E451">
        <v>6117845</v>
      </c>
      <c r="F451">
        <v>21</v>
      </c>
      <c r="G451" t="s">
        <v>22</v>
      </c>
      <c r="I451" t="s">
        <v>1500</v>
      </c>
      <c r="J451" t="s">
        <v>1501</v>
      </c>
      <c r="K451">
        <v>1828</v>
      </c>
      <c r="L451" t="s">
        <v>1126</v>
      </c>
      <c r="M451" t="s">
        <v>263</v>
      </c>
      <c r="N451" t="s">
        <v>58</v>
      </c>
      <c r="O451" t="s">
        <v>463</v>
      </c>
      <c r="P451" t="s">
        <v>39</v>
      </c>
      <c r="Q451" t="s">
        <v>1497</v>
      </c>
    </row>
    <row r="452" spans="1:19" x14ac:dyDescent="0.25">
      <c r="A452" t="s">
        <v>1499</v>
      </c>
      <c r="B452" t="s">
        <v>1499</v>
      </c>
      <c r="C452" t="s">
        <v>21</v>
      </c>
      <c r="D452">
        <v>338894</v>
      </c>
      <c r="E452">
        <v>6117845</v>
      </c>
      <c r="F452">
        <v>21</v>
      </c>
      <c r="G452" t="s">
        <v>22</v>
      </c>
      <c r="I452" t="s">
        <v>1500</v>
      </c>
      <c r="J452" t="s">
        <v>1502</v>
      </c>
      <c r="K452">
        <v>1726</v>
      </c>
      <c r="L452" t="s">
        <v>1126</v>
      </c>
      <c r="M452" t="s">
        <v>103</v>
      </c>
      <c r="N452" t="s">
        <v>58</v>
      </c>
      <c r="O452" t="s">
        <v>1353</v>
      </c>
      <c r="P452" t="s">
        <v>39</v>
      </c>
      <c r="Q452" t="s">
        <v>1497</v>
      </c>
    </row>
    <row r="453" spans="1:19" x14ac:dyDescent="0.25">
      <c r="A453" t="s">
        <v>1499</v>
      </c>
      <c r="B453" t="s">
        <v>1499</v>
      </c>
      <c r="C453" t="s">
        <v>21</v>
      </c>
      <c r="D453">
        <v>338894</v>
      </c>
      <c r="E453">
        <v>6117845</v>
      </c>
      <c r="F453">
        <v>21</v>
      </c>
      <c r="G453" t="s">
        <v>22</v>
      </c>
      <c r="I453" t="s">
        <v>1500</v>
      </c>
      <c r="J453" t="s">
        <v>1503</v>
      </c>
      <c r="K453">
        <v>1726</v>
      </c>
      <c r="L453" t="s">
        <v>1126</v>
      </c>
      <c r="M453" t="s">
        <v>103</v>
      </c>
      <c r="N453" t="s">
        <v>58</v>
      </c>
      <c r="O453" t="s">
        <v>1412</v>
      </c>
      <c r="P453" t="s">
        <v>39</v>
      </c>
      <c r="Q453" t="s">
        <v>1497</v>
      </c>
    </row>
    <row r="454" spans="1:19" x14ac:dyDescent="0.25">
      <c r="A454" t="s">
        <v>1504</v>
      </c>
      <c r="B454" t="s">
        <v>1504</v>
      </c>
      <c r="C454" t="s">
        <v>21</v>
      </c>
      <c r="D454">
        <v>323200</v>
      </c>
      <c r="E454">
        <v>6087294</v>
      </c>
      <c r="F454">
        <v>21</v>
      </c>
      <c r="G454" t="s">
        <v>22</v>
      </c>
      <c r="I454" t="s">
        <v>1505</v>
      </c>
      <c r="J454" t="s">
        <v>1506</v>
      </c>
      <c r="K454">
        <v>2178</v>
      </c>
      <c r="L454" t="s">
        <v>1126</v>
      </c>
      <c r="M454" t="s">
        <v>36</v>
      </c>
      <c r="N454" t="s">
        <v>58</v>
      </c>
      <c r="O454" t="s">
        <v>1507</v>
      </c>
      <c r="P454" t="s">
        <v>30</v>
      </c>
      <c r="Q454" t="s">
        <v>1497</v>
      </c>
    </row>
    <row r="455" spans="1:19" x14ac:dyDescent="0.25">
      <c r="A455" t="s">
        <v>1508</v>
      </c>
      <c r="B455" t="s">
        <v>1508</v>
      </c>
      <c r="C455" t="s">
        <v>21</v>
      </c>
      <c r="D455">
        <v>343340</v>
      </c>
      <c r="E455">
        <v>6104445</v>
      </c>
      <c r="F455">
        <v>21</v>
      </c>
      <c r="G455" t="s">
        <v>22</v>
      </c>
      <c r="I455" t="s">
        <v>1509</v>
      </c>
      <c r="J455" t="s">
        <v>1510</v>
      </c>
      <c r="K455">
        <v>2013</v>
      </c>
      <c r="L455" t="s">
        <v>1126</v>
      </c>
      <c r="M455" t="s">
        <v>36</v>
      </c>
      <c r="N455" t="s">
        <v>58</v>
      </c>
      <c r="O455" t="s">
        <v>1266</v>
      </c>
      <c r="P455" t="s">
        <v>1164</v>
      </c>
      <c r="Q455" t="s">
        <v>1497</v>
      </c>
    </row>
    <row r="456" spans="1:19" x14ac:dyDescent="0.25">
      <c r="A456" t="s">
        <v>1511</v>
      </c>
      <c r="B456" t="s">
        <v>1511</v>
      </c>
      <c r="C456" t="s">
        <v>21</v>
      </c>
      <c r="D456">
        <v>323758</v>
      </c>
      <c r="E456">
        <v>6129616</v>
      </c>
      <c r="F456">
        <v>21</v>
      </c>
      <c r="G456" t="s">
        <v>22</v>
      </c>
      <c r="I456" t="s">
        <v>1512</v>
      </c>
      <c r="J456" t="s">
        <v>1513</v>
      </c>
      <c r="K456">
        <v>1805</v>
      </c>
      <c r="L456" t="s">
        <v>1407</v>
      </c>
      <c r="M456" t="s">
        <v>36</v>
      </c>
      <c r="N456" t="s">
        <v>986</v>
      </c>
      <c r="O456" t="s">
        <v>1514</v>
      </c>
      <c r="P456" t="s">
        <v>30</v>
      </c>
      <c r="Q456" t="s">
        <v>1515</v>
      </c>
    </row>
    <row r="457" spans="1:19" x14ac:dyDescent="0.25">
      <c r="A457" t="s">
        <v>1374</v>
      </c>
      <c r="B457" t="s">
        <v>1374</v>
      </c>
      <c r="C457" t="s">
        <v>21</v>
      </c>
      <c r="D457">
        <v>332800</v>
      </c>
      <c r="E457">
        <v>6065900</v>
      </c>
      <c r="F457">
        <v>21</v>
      </c>
      <c r="G457" t="s">
        <v>22</v>
      </c>
      <c r="I457" t="s">
        <v>1375</v>
      </c>
      <c r="J457" t="s">
        <v>1113</v>
      </c>
      <c r="K457">
        <v>1801</v>
      </c>
      <c r="L457" t="s">
        <v>1080</v>
      </c>
      <c r="M457" t="s">
        <v>103</v>
      </c>
      <c r="N457" t="s">
        <v>58</v>
      </c>
      <c r="O457" t="s">
        <v>1516</v>
      </c>
      <c r="P457" t="s">
        <v>30</v>
      </c>
      <c r="Q457" t="s">
        <v>1379</v>
      </c>
    </row>
    <row r="458" spans="1:19" x14ac:dyDescent="0.25">
      <c r="A458" t="s">
        <v>1517</v>
      </c>
      <c r="B458" t="s">
        <v>1517</v>
      </c>
      <c r="C458" t="s">
        <v>21</v>
      </c>
      <c r="D458">
        <v>445361</v>
      </c>
      <c r="E458">
        <v>6017716</v>
      </c>
      <c r="F458">
        <v>21</v>
      </c>
      <c r="G458" t="s">
        <v>22</v>
      </c>
      <c r="H458" t="s">
        <v>23</v>
      </c>
      <c r="I458" t="s">
        <v>75</v>
      </c>
      <c r="J458" t="s">
        <v>1518</v>
      </c>
      <c r="K458">
        <v>1449</v>
      </c>
      <c r="L458" t="s">
        <v>77</v>
      </c>
      <c r="M458" t="s">
        <v>971</v>
      </c>
      <c r="N458" t="s">
        <v>58</v>
      </c>
      <c r="O458" t="s">
        <v>972</v>
      </c>
      <c r="P458" t="s">
        <v>30</v>
      </c>
      <c r="Q458" t="s">
        <v>973</v>
      </c>
      <c r="S458" t="s">
        <v>80</v>
      </c>
    </row>
    <row r="459" spans="1:19" x14ac:dyDescent="0.25">
      <c r="A459" t="s">
        <v>1517</v>
      </c>
      <c r="B459" t="s">
        <v>1517</v>
      </c>
      <c r="C459" t="s">
        <v>21</v>
      </c>
      <c r="D459">
        <v>445361</v>
      </c>
      <c r="E459">
        <v>6017716</v>
      </c>
      <c r="F459">
        <v>21</v>
      </c>
      <c r="G459" t="s">
        <v>22</v>
      </c>
      <c r="I459" t="s">
        <v>75</v>
      </c>
      <c r="J459" t="s">
        <v>1519</v>
      </c>
      <c r="K459">
        <v>490</v>
      </c>
      <c r="L459" t="s">
        <v>77</v>
      </c>
      <c r="M459" t="s">
        <v>971</v>
      </c>
      <c r="N459" t="s">
        <v>320</v>
      </c>
      <c r="O459" t="s">
        <v>972</v>
      </c>
      <c r="P459" t="s">
        <v>359</v>
      </c>
      <c r="Q459" t="s">
        <v>973</v>
      </c>
    </row>
    <row r="460" spans="1:19" x14ac:dyDescent="0.25">
      <c r="A460" t="s">
        <v>846</v>
      </c>
      <c r="B460" t="s">
        <v>846</v>
      </c>
      <c r="C460" t="s">
        <v>21</v>
      </c>
      <c r="D460">
        <v>373843</v>
      </c>
      <c r="E460">
        <v>5784611</v>
      </c>
      <c r="F460">
        <v>21</v>
      </c>
      <c r="G460" t="s">
        <v>22</v>
      </c>
      <c r="I460" t="s">
        <v>847</v>
      </c>
      <c r="J460" t="s">
        <v>1520</v>
      </c>
      <c r="K460">
        <v>1032</v>
      </c>
      <c r="L460" t="s">
        <v>198</v>
      </c>
      <c r="M460" t="s">
        <v>36</v>
      </c>
      <c r="N460" t="s">
        <v>320</v>
      </c>
      <c r="O460" t="s">
        <v>309</v>
      </c>
      <c r="P460" t="s">
        <v>39</v>
      </c>
      <c r="Q460" t="s">
        <v>181</v>
      </c>
      <c r="R460" s="3" t="str">
        <f>HYPERLINK("..\..\Imagery\ScannedGeochron\UPb\Gowe2008Fig6f.jpg")</f>
        <v>..\..\Imagery\ScannedGeochron\UPb\Gowe2008Fig6f.jpg</v>
      </c>
      <c r="S460" t="s">
        <v>849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GeochronUPb</vt:lpstr>
      <vt:lpstr>GeochronUPb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Honarvar, Pauline</dc:creator>
  <cp:lastModifiedBy>Honarvar, Pauline</cp:lastModifiedBy>
  <dcterms:created xsi:type="dcterms:W3CDTF">2018-12-05T15:04:44Z</dcterms:created>
  <dcterms:modified xsi:type="dcterms:W3CDTF">2019-03-08T20:45:50Z</dcterms:modified>
</cp:coreProperties>
</file>